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20" windowWidth="11700" windowHeight="5985" tabRatio="601" activeTab="0"/>
  </bookViews>
  <sheets>
    <sheet name="tartjegyzék" sheetId="1" r:id="rId1"/>
    <sheet name="adósságszolgálat 2015" sheetId="2" r:id="rId2"/>
    <sheet name="kötváll keret-ei." sheetId="3" r:id="rId3"/>
    <sheet name="közvetett támogatás" sheetId="4" r:id="rId4"/>
    <sheet name="ÁH-n kívülre adott támogatások" sheetId="5" r:id="rId5"/>
    <sheet name="ÁH-n belülre adott támogatá" sheetId="6" r:id="rId6"/>
    <sheet name="ÁH-n kívülről kapott támogatás" sheetId="7" r:id="rId7"/>
    <sheet name="ÁH-n belülről kapott támogatása" sheetId="8" r:id="rId8"/>
    <sheet name="ellátottak juttatásai" sheetId="9" r:id="rId9"/>
    <sheet name="céltartalék" sheetId="10" r:id="rId10"/>
    <sheet name="beruházás" sheetId="11" r:id="rId11"/>
    <sheet name="felújítás" sheetId="12" r:id="rId12"/>
    <sheet name="normatív " sheetId="13" r:id="rId13"/>
    <sheet name="elnyert pályázatok 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Nyomtatás_Cím" localSheetId="1">#REF!</definedName>
    <definedName name="Nyomtatás_Cím">#REF!</definedName>
    <definedName name="_xlnm.Print_Titles" localSheetId="1">'adósságszolgálat 2015'!$A:$B</definedName>
    <definedName name="_xlnm.Print_Titles" localSheetId="10">'beruházás'!$7:$9</definedName>
    <definedName name="_xlnm.Print_Titles" localSheetId="9">'céltartalék'!$8:$9</definedName>
    <definedName name="_xlnm.Print_Titles" localSheetId="13">'elnyert pályázatok '!$4:$12</definedName>
    <definedName name="_xlnm.Print_Titles" localSheetId="11">'felújítás'!$8:$10</definedName>
    <definedName name="_xlnm.Print_Titles" localSheetId="3">'közvetett támogatás'!$4:$8</definedName>
    <definedName name="Nyomtatási_Tartomány" localSheetId="1">#REF!</definedName>
    <definedName name="Nyomtatási_Tartomány" localSheetId="8">#REF!</definedName>
    <definedName name="Nyomtatási_Tartomány" localSheetId="13">#REF!</definedName>
    <definedName name="Nyomtatási_Tartomány" localSheetId="3">#REF!</definedName>
    <definedName name="Nyomtatási_Tartomány">#REF!</definedName>
    <definedName name="_xlnm.Print_Area" localSheetId="1">'adósságszolgálat 2015'!$A$1:$AA$120</definedName>
    <definedName name="_xlnm.Print_Area" localSheetId="5">'ÁH-n belülre adott támogatá'!$A$1:$C$26</definedName>
    <definedName name="_xlnm.Print_Area" localSheetId="7">'ÁH-n belülről kapott támogatása'!$A$1:$C$37</definedName>
    <definedName name="_xlnm.Print_Area" localSheetId="4">'ÁH-n kívülre adott támogatások'!$A$1:$C$47</definedName>
    <definedName name="_xlnm.Print_Area" localSheetId="6">'ÁH-n kívülről kapott támogatás'!$A$1:$C$48</definedName>
    <definedName name="_xlnm.Print_Area" localSheetId="10">'beruházás'!$A$1:$F$141</definedName>
    <definedName name="_xlnm.Print_Area" localSheetId="9">'céltartalék'!$A$1:$C$64</definedName>
    <definedName name="_xlnm.Print_Area" localSheetId="8">'ellátottak juttatásai'!$A$1:$F$52</definedName>
    <definedName name="_xlnm.Print_Area" localSheetId="13">'elnyert pályázatok '!$A$1:$H$90</definedName>
    <definedName name="_xlnm.Print_Area" localSheetId="11">'felújítás'!$A$1:$F$52</definedName>
    <definedName name="_xlnm.Print_Area" localSheetId="2">'kötváll keret-ei.'!$A$1:$I$46</definedName>
    <definedName name="_xlnm.Print_Area" localSheetId="12">'normatív '!$A$1:$T$101</definedName>
    <definedName name="_xlnm.Print_Area" localSheetId="0">'tartjegyzék'!$A$1:$K$241</definedName>
  </definedNames>
  <calcPr fullCalcOnLoad="1"/>
</workbook>
</file>

<file path=xl/sharedStrings.xml><?xml version="1.0" encoding="utf-8"?>
<sst xmlns="http://schemas.openxmlformats.org/spreadsheetml/2006/main" count="1870" uniqueCount="950">
  <si>
    <t>Egyéb gépek beszerzése (televíziók beszerzése ügyfélszolgálati információ szolgáltatáshoz, kijelző, switch, IP telefonok, egyéb informatikai eszközök, stb.)</t>
  </si>
  <si>
    <t>Különböző kisérétű tárgyi eszközök, besrendezések, felszerelések vásárlása</t>
  </si>
  <si>
    <t>Irattárak kialakítása, átalakítása</t>
  </si>
  <si>
    <t>Gépjárművek beszerzése</t>
  </si>
  <si>
    <t>TÉR_KÖZ pályázat Mogyoródi úti sportpálya fejlesztése</t>
  </si>
  <si>
    <t xml:space="preserve"> - Pályázatok kiadásai</t>
  </si>
  <si>
    <t>Projekt és pályázat előkészítési alap, pályázati önerő</t>
  </si>
  <si>
    <t>Zuglói Egészségügyi Szolgálat felújítási és beruházási kiadásai - az önkormányzat céltartalékában tervezve</t>
  </si>
  <si>
    <t>Őrs vezér tere és környékére tervezett fizetős parkolási rend bevezetése</t>
  </si>
  <si>
    <t>Mogyoródi úti útépítés (komplex közterületi rehabilitáció)</t>
  </si>
  <si>
    <t>Járda és parksétány építés</t>
  </si>
  <si>
    <t xml:space="preserve">Közvilágítás létesítése </t>
  </si>
  <si>
    <t>Korlátozott sebességű övezet kialakítása, hatástanulmányok</t>
  </si>
  <si>
    <t>Kerékpártárolók telepítése zuglói helyszíneken</t>
  </si>
  <si>
    <t xml:space="preserve">Park, tér,  játszótér  rekonstrukció </t>
  </si>
  <si>
    <t>Útburkolat megerősítések (szőnyegezések)</t>
  </si>
  <si>
    <t>Önkormányzati épületek, lakások felújításához kapcsolódó kiadások</t>
  </si>
  <si>
    <t>Önkormányzati helyiségek, egyéb épületek felújítása és hozzá kapcsolódó kiadások</t>
  </si>
  <si>
    <t>Az önkormányzati forgalomképtelen és korlátozottan forgalomképes törzsvagyont érintő fejlesztések                                       fedezetére</t>
  </si>
  <si>
    <t>Budapest Főváros XIV. Kerület Zuglói Polgármesteri Hivatal</t>
  </si>
  <si>
    <t>Zuglói Önkormányzati Rendészet</t>
  </si>
  <si>
    <t xml:space="preserve">Zuglói Szociális Szolgáltató Központ </t>
  </si>
  <si>
    <t xml:space="preserve"> - ÁROP-3.A.2-2013-2013-0043 </t>
  </si>
  <si>
    <t xml:space="preserve"> - KMOP-3.3.3-13-2013-0022 </t>
  </si>
  <si>
    <t xml:space="preserve"> - KMOP-3.3.3-13-2013-032</t>
  </si>
  <si>
    <t xml:space="preserve"> - SEE/D/0325/4.1/X</t>
  </si>
  <si>
    <t>II. Interreg SEE - Dél-Kelet Európai Országokat érintő pályázat - Silver City projekt</t>
  </si>
  <si>
    <t>I.   Egy jó szó Zuglóban - Zugló Önkormányzata és a Zuglói Polgárőrség áldozatvédelmi programja</t>
  </si>
  <si>
    <t xml:space="preserve"> - TÁMOP-5.6.1.C-11/1-2011-0011</t>
  </si>
  <si>
    <t xml:space="preserve">III. Szociális alapszolgáltatások és gyermekjóléti alapellátások infrastrukturális fejlesztése - Új bölcsődei férőhelyek kialakítása, új telephelyen Zuglóban                                        </t>
  </si>
  <si>
    <t xml:space="preserve">  - KMOP-4.5.2-11-2012-0008</t>
  </si>
  <si>
    <t xml:space="preserve">IV. Nevelési intézmények fejlesztése - Csicsergő Óvoda fejlesztése új telephely kialakításával                                                                                                   </t>
  </si>
  <si>
    <t xml:space="preserve"> - KMOP-4.6.1-11-2012-0037 </t>
  </si>
  <si>
    <t xml:space="preserve"> - KMOP-4.6.1-11-2012-0027</t>
  </si>
  <si>
    <t xml:space="preserve">V. Nevelési intézmények fejlesztése - Zöld Lurkók Óvoda fejlesztése új épületrész kialakításával Zuglóban                                                       </t>
  </si>
  <si>
    <t>betervezve 2014-re kiadások</t>
  </si>
  <si>
    <t>ok</t>
  </si>
  <si>
    <t>felhalmozás</t>
  </si>
  <si>
    <t>működési</t>
  </si>
  <si>
    <t xml:space="preserve"> 2/1/A</t>
  </si>
  <si>
    <t xml:space="preserve"> 2/2/A</t>
  </si>
  <si>
    <t xml:space="preserve"> 2/3/A</t>
  </si>
  <si>
    <t xml:space="preserve">  2/4/A</t>
  </si>
  <si>
    <t xml:space="preserve">  2/5/A</t>
  </si>
  <si>
    <t xml:space="preserve">  2/6/A</t>
  </si>
  <si>
    <t xml:space="preserve">  2/7/A</t>
  </si>
  <si>
    <t xml:space="preserve">  2/8/A</t>
  </si>
  <si>
    <t xml:space="preserve">  2/9/A</t>
  </si>
  <si>
    <t xml:space="preserve">  2/10/A</t>
  </si>
  <si>
    <t xml:space="preserve">  2/11/A</t>
  </si>
  <si>
    <t xml:space="preserve">  2/12/A</t>
  </si>
  <si>
    <t xml:space="preserve">  2/14/A</t>
  </si>
  <si>
    <t xml:space="preserve">  2/15/A</t>
  </si>
  <si>
    <t xml:space="preserve">  2/16/A</t>
  </si>
  <si>
    <t xml:space="preserve">  2/17/A</t>
  </si>
  <si>
    <t xml:space="preserve">  2/18/A</t>
  </si>
  <si>
    <t xml:space="preserve">  2/19/A</t>
  </si>
  <si>
    <t xml:space="preserve">  2/20/A</t>
  </si>
  <si>
    <t xml:space="preserve">  2/21/A</t>
  </si>
  <si>
    <t xml:space="preserve">  2/22/A</t>
  </si>
  <si>
    <t xml:space="preserve">  2/24/A</t>
  </si>
  <si>
    <t xml:space="preserve">  2/25/A</t>
  </si>
  <si>
    <t xml:space="preserve">  2/26/A</t>
  </si>
  <si>
    <t xml:space="preserve">  2/27/A</t>
  </si>
  <si>
    <t xml:space="preserve">  2/28/A</t>
  </si>
  <si>
    <t xml:space="preserve">  2/29/A</t>
  </si>
  <si>
    <t xml:space="preserve">  2/30/A</t>
  </si>
  <si>
    <t xml:space="preserve">  2/31/A</t>
  </si>
  <si>
    <t xml:space="preserve">  2/32/A</t>
  </si>
  <si>
    <t xml:space="preserve">  2/34/A</t>
  </si>
  <si>
    <t xml:space="preserve"> 2/1/B</t>
  </si>
  <si>
    <t xml:space="preserve"> 2/2/B</t>
  </si>
  <si>
    <t xml:space="preserve">  2/3/B</t>
  </si>
  <si>
    <t xml:space="preserve">  2/4/B</t>
  </si>
  <si>
    <t xml:space="preserve">  2/5/B</t>
  </si>
  <si>
    <t xml:space="preserve">  2/6/B</t>
  </si>
  <si>
    <t xml:space="preserve">  2/7/B</t>
  </si>
  <si>
    <t xml:space="preserve">  2/8/B</t>
  </si>
  <si>
    <t xml:space="preserve">  2/9/B</t>
  </si>
  <si>
    <t xml:space="preserve">  2/10/B</t>
  </si>
  <si>
    <t xml:space="preserve">  2/11/B</t>
  </si>
  <si>
    <t xml:space="preserve">  2/12/B</t>
  </si>
  <si>
    <t xml:space="preserve">  2/14/B</t>
  </si>
  <si>
    <t xml:space="preserve">  2/15/B</t>
  </si>
  <si>
    <t xml:space="preserve">  2/16/B</t>
  </si>
  <si>
    <t xml:space="preserve">  2/17/B</t>
  </si>
  <si>
    <t xml:space="preserve">  2/18/B</t>
  </si>
  <si>
    <t xml:space="preserve">  2/19/B</t>
  </si>
  <si>
    <t xml:space="preserve">  2/20/B</t>
  </si>
  <si>
    <t xml:space="preserve">  2/21/B</t>
  </si>
  <si>
    <t xml:space="preserve">  2/22/B</t>
  </si>
  <si>
    <t xml:space="preserve">  2/24/B</t>
  </si>
  <si>
    <t xml:space="preserve">  2/25/B</t>
  </si>
  <si>
    <t xml:space="preserve">  2/26/B</t>
  </si>
  <si>
    <t xml:space="preserve">  2/27/B</t>
  </si>
  <si>
    <t xml:space="preserve">  2/28/B</t>
  </si>
  <si>
    <t xml:space="preserve">  2/29/B</t>
  </si>
  <si>
    <t xml:space="preserve">  2/30/B</t>
  </si>
  <si>
    <t xml:space="preserve">  2/31/B</t>
  </si>
  <si>
    <t xml:space="preserve">  2/32/B</t>
  </si>
  <si>
    <t xml:space="preserve">  2/34/B</t>
  </si>
  <si>
    <t xml:space="preserve">Budapest Főváros XIV. Kerület Zugló Önkormányzata lakosságát </t>
  </si>
  <si>
    <t>érintő szociális juttatások</t>
  </si>
  <si>
    <t>Várható  állami támogatások és forrásmegosztási bevételek</t>
  </si>
  <si>
    <t>Budapest Főváros XIV. Kerület Zugló Önkormányzata bevételeinek és kiadásainak  mérlegszerű</t>
  </si>
  <si>
    <t>Törvényi mentesség összesen</t>
  </si>
  <si>
    <t>Vízelvezetők, víznyelők építése</t>
  </si>
  <si>
    <t>felhalmozási</t>
  </si>
  <si>
    <t>Vállalkozó</t>
  </si>
  <si>
    <t>Profitorientált vállalkozás</t>
  </si>
  <si>
    <t>Non-profit szervezet</t>
  </si>
  <si>
    <t>Egyház</t>
  </si>
  <si>
    <t xml:space="preserve">Életjáradéki szerződések  </t>
  </si>
  <si>
    <t>Életjáradékosok élete végéig</t>
  </si>
  <si>
    <t>Képviselő-testületi döntések alapján</t>
  </si>
  <si>
    <t xml:space="preserve"> - </t>
  </si>
  <si>
    <t>HITEL ÖSSZESEN KAMATOKKAL EGYÜTT</t>
  </si>
  <si>
    <t>2010. év          (tájékoztatásul)</t>
  </si>
  <si>
    <t>43.</t>
  </si>
  <si>
    <t>44.</t>
  </si>
  <si>
    <t>56.</t>
  </si>
  <si>
    <t>58.</t>
  </si>
  <si>
    <t xml:space="preserve">    BEVÉTELEK</t>
  </si>
  <si>
    <t xml:space="preserve">    KIADÁSOK</t>
  </si>
  <si>
    <t>A kötelező és önként vállalt, valamint állami feladatok bemutatása intézményenként</t>
  </si>
  <si>
    <t>62.</t>
  </si>
  <si>
    <t>65.</t>
  </si>
  <si>
    <t>69.</t>
  </si>
  <si>
    <t>Építményadó:</t>
  </si>
  <si>
    <t>A költségvetési rendelet-tervezet mellékletei:</t>
  </si>
  <si>
    <t xml:space="preserve">2014. évi támogatás    </t>
  </si>
  <si>
    <t xml:space="preserve"> - Városfejlesztési feladatok</t>
  </si>
  <si>
    <t>45.</t>
  </si>
  <si>
    <t>46.</t>
  </si>
  <si>
    <t>47.</t>
  </si>
  <si>
    <t>54.</t>
  </si>
  <si>
    <t>55.</t>
  </si>
  <si>
    <t>Egyéb nyújtott kedvezmény, vagy kölcsön elengedése</t>
  </si>
  <si>
    <t>A</t>
  </si>
  <si>
    <t>B</t>
  </si>
  <si>
    <t>C</t>
  </si>
  <si>
    <t>D</t>
  </si>
  <si>
    <t>13.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</si>
  <si>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</si>
  <si>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</si>
  <si>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</si>
  <si>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</si>
  <si>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</si>
  <si>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</si>
  <si>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</si>
  <si>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</si>
  <si>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</si>
  <si>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</si>
  <si>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</si>
  <si>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</si>
  <si>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</si>
  <si>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</si>
  <si>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</si>
  <si>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</si>
  <si>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</si>
  <si>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</si>
  <si>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</si>
  <si>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</si>
  <si>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42.</t>
  </si>
  <si>
    <t>48.</t>
  </si>
  <si>
    <t>Jókai Mór Általános Iskola - tűzjelző kiépítése</t>
  </si>
  <si>
    <t>kedvezményezettje</t>
  </si>
  <si>
    <t>Magánszemély</t>
  </si>
  <si>
    <t>Önkormányzati mentesség összesen</t>
  </si>
  <si>
    <t>jogcíme (jellege)</t>
  </si>
  <si>
    <t>mértéke %</t>
  </si>
  <si>
    <t>összege eFt</t>
  </si>
  <si>
    <t>Feladat</t>
  </si>
  <si>
    <t>Megjegyzés</t>
  </si>
  <si>
    <t>10.</t>
  </si>
  <si>
    <t>Zuglói Egyesített Bölcsődék</t>
  </si>
  <si>
    <t>Iparűzési adó</t>
  </si>
  <si>
    <t>Z U G L Ó  Ö N K O R M Á N Y Z A T A</t>
  </si>
  <si>
    <t xml:space="preserve"> = polgármesteri keret</t>
  </si>
  <si>
    <t>kihatással  járó kötelezettségvállalási keret-előirányzatai</t>
  </si>
  <si>
    <t xml:space="preserve">      -  helyettes szülők díja</t>
  </si>
  <si>
    <t xml:space="preserve">      - védőoltások támogatása</t>
  </si>
  <si>
    <t xml:space="preserve">      - óvodáztatási támogatások</t>
  </si>
  <si>
    <t xml:space="preserve">2013. év </t>
  </si>
  <si>
    <t>Pénzbeli szociális ellátásokhoz való hozzájárulás</t>
  </si>
  <si>
    <t>Szociális és gyermekjóléti ellátások támogatása</t>
  </si>
  <si>
    <t>115 217 fő</t>
  </si>
  <si>
    <t>115 430 fő</t>
  </si>
  <si>
    <t>115 643 fő</t>
  </si>
  <si>
    <t>IV. A települési önkormányzatok kulturális feladatainak támogatása</t>
  </si>
  <si>
    <t>Költségvetési törvény 10. melléklete - Beruházási Alap - Mogyoródi úti Sporttelep fejlesztésének támogatása</t>
  </si>
  <si>
    <t xml:space="preserve">I. Helyi önkormányzatok működésének általános támogatása </t>
  </si>
  <si>
    <t xml:space="preserve">II. Települési önkormányzatok egyes köznevelési  feladatainak támogatása </t>
  </si>
  <si>
    <t xml:space="preserve">III. Települési önkormányzatok szociális és gyermekjóléti feladatainak támogatása </t>
  </si>
  <si>
    <t xml:space="preserve">Támogatás, költségvetési törvény 2. melléklete összesen               </t>
  </si>
  <si>
    <t>A régi  költségvetési törvény 8. melléklete összesen:</t>
  </si>
  <si>
    <t>FORRÁSMEGOSZTÁS</t>
  </si>
  <si>
    <t>ÁLLAMI TÁMOGATÁS</t>
  </si>
  <si>
    <t xml:space="preserve">         adósságterheimek enyhítése</t>
  </si>
  <si>
    <t xml:space="preserve">      - ápolási díj - helyi</t>
  </si>
  <si>
    <t xml:space="preserve">      - átmeneti szociális segély - pénzbeni</t>
  </si>
  <si>
    <t xml:space="preserve">      - átmeneti szociális segély - természetbeni</t>
  </si>
  <si>
    <t xml:space="preserve">      - születési támogatás</t>
  </si>
  <si>
    <t>2012.07.01-2017.06.30</t>
  </si>
  <si>
    <t>I.  Zugló Polgármesteri Hivatala Okmányirodájának komplex akadálymentesítése                                                                                                                 - KMOP-4.5.3-10-11-2011-0055</t>
  </si>
  <si>
    <t>elbírálás alatt</t>
  </si>
  <si>
    <t>Közművelődési feladatok támogatása</t>
  </si>
  <si>
    <t>A kötelező és önként vállalt feladatok, valamint az állami feladatok bemutatása intézményenként</t>
  </si>
  <si>
    <t>Közbeszerzés útján</t>
  </si>
  <si>
    <t>Intézményi közétkeztetés (oktatási és szociális)</t>
  </si>
  <si>
    <t>2013.02.01-2017.08.31</t>
  </si>
  <si>
    <t>A lakosságnak juttatott támogatások, szociális, rászorultsági jellegű juttatások összesen (ellátottak juttatásai):</t>
  </si>
  <si>
    <t>Intézményi beruházások a ZVK Zrt. által végzett koordinációban - az önkormányzati költségvetésben tervezve</t>
  </si>
  <si>
    <t xml:space="preserve"> - Zuglói Városgazdálkodási Közszolgáltató ZRt. működéséhez kapcsolódó kiadások</t>
  </si>
  <si>
    <t>Szerverszoftverek, egyedi szoftverek beszerzése, licenc követések</t>
  </si>
  <si>
    <t>Mobiltelefonok beszerzése</t>
  </si>
  <si>
    <t xml:space="preserve"> - Polgármesteri Kabinet kiadásai</t>
  </si>
  <si>
    <t>KMOP-4.6.1-11-2012-0037 Csicsergő Óvoda fejlesztése új telephely kialakításával</t>
  </si>
  <si>
    <t>KMOP-4.6.1-11-2012-0027 Zöld Lurkók Óvoda Óvoda fejlesztése új épületrész kialakításával Zuglóban</t>
  </si>
  <si>
    <t xml:space="preserve"> - Polgári Védelmi feladatok</t>
  </si>
  <si>
    <t>Pétervárad utca 11-17. szám alatti ingatlan tulajdonjogának részben történő megszerzése</t>
  </si>
  <si>
    <t>Kutyafuttatók létesítése</t>
  </si>
  <si>
    <t>2013. év</t>
  </si>
  <si>
    <t xml:space="preserve">2012. év </t>
  </si>
  <si>
    <t xml:space="preserve">Polgármesteri Kabinet </t>
  </si>
  <si>
    <t>Városfejlesztési feladatok</t>
  </si>
  <si>
    <t>Pályázatokhoz kapcsolódó feladatok</t>
  </si>
  <si>
    <t xml:space="preserve"> = új bölcsődei csoportok nyitásához kapcsolódó költségek</t>
  </si>
  <si>
    <t xml:space="preserve"> = 13/2005. (V. 02.) önkormányzati rendelet kitűntetésekre  (szociális ágazat, egészségügyi ágazat)</t>
  </si>
  <si>
    <t>Zuglói Sport- és Rendezvényszervező Non-Profit Kft. - közszolgáltatási szerződése</t>
  </si>
  <si>
    <t>2013.01.01-2017.12.31.</t>
  </si>
  <si>
    <t>1045/2012. (XI. 29.) KT határozat</t>
  </si>
  <si>
    <t>Jegyzői feladatok</t>
  </si>
  <si>
    <t>532/2012. (VI. 21.) KT határozat</t>
  </si>
  <si>
    <t xml:space="preserve"> - 2005. évi döntés alapján </t>
  </si>
  <si>
    <t xml:space="preserve"> - Lakóépület felújítási hitel (2009.)  - GA-049641. szerződés</t>
  </si>
  <si>
    <t xml:space="preserve"> - 2009. évi döntés alapján  - GAP-049210. szerződés</t>
  </si>
  <si>
    <t>1. Lakásfelújítási hitelek - 2011. - 43522. szerződés</t>
  </si>
  <si>
    <t>2.  Panel Plusz hitel - 2011. - 43521. szerződés</t>
  </si>
  <si>
    <t>Gépjárműadó:</t>
  </si>
  <si>
    <t>Magánszemély, vállalkozó, cégek</t>
  </si>
  <si>
    <t>1991. évi LXXXII. Tv a gépjárműadóról 5.§</t>
  </si>
  <si>
    <t>állami adósságkonszolidáció 2013. évben</t>
  </si>
  <si>
    <t>Fennálló hiteltartozás CHF-ben:</t>
  </si>
  <si>
    <t>Hitelek törlesztése összesen EUR-ban:</t>
  </si>
  <si>
    <t>21013. évi tölr.</t>
  </si>
  <si>
    <t>Hitelek kamatai összesen EUR-ben (3 hónapos EURIBOR + 0,79%):</t>
  </si>
  <si>
    <t>(*2014. évi törlesztésektől 2013.12.31-i fordulónapon érvényes K&amp;H Bank Zrt. hivatalos árfolyamával számolva:                                     302,33HUF/EUR - számolva)</t>
  </si>
  <si>
    <t xml:space="preserve">1.  Panel Plusz hitel </t>
  </si>
  <si>
    <t xml:space="preserve"> - 2013. évi döntés alapján</t>
  </si>
  <si>
    <t>III. UniCredit Bank Hungary Zrt.</t>
  </si>
  <si>
    <t>fizetendő kamat (3 havi BUBOR+2,0% kamatfelár)</t>
  </si>
  <si>
    <t>RENDELET-TERVEZETE</t>
  </si>
  <si>
    <t>Behatolás jelző, tűzjelző, beléptető rendszer, CCTV - karbantartása</t>
  </si>
  <si>
    <t>Vállalkozói szerződés alapján</t>
  </si>
  <si>
    <t>2013.04.01-határozatlan</t>
  </si>
  <si>
    <t>Szociális feladatok</t>
  </si>
  <si>
    <t>Magyar Máltai Szeretetszolgálat</t>
  </si>
  <si>
    <t>2013.03.21-2018.03.20</t>
  </si>
  <si>
    <t>Különböző vegyes önkormányzati feladatok</t>
  </si>
  <si>
    <t>Stúdió Zene- és Táncművészeti Alapítvány, valamint a "Budapest Táncművészeti Stúdió" Szakközépiskola - szolgáltatási szerződés</t>
  </si>
  <si>
    <t>568/2013. (VI. 20.)</t>
  </si>
  <si>
    <t>2013.07.01-2021.08.31</t>
  </si>
  <si>
    <t>2017. év</t>
  </si>
  <si>
    <t>2018. év</t>
  </si>
  <si>
    <t>Az aktuális éves költségvetési rendelet tartalmazza az összeget.</t>
  </si>
  <si>
    <t>2013. évi  támogatás</t>
  </si>
  <si>
    <t xml:space="preserve"> = Városligeti Magyar-Angol Két Tanítási Nyelvű Általános Iskola - munkajogi per fedezete</t>
  </si>
  <si>
    <t xml:space="preserve"> = Őrs vezér tere és környékére, valamint Városligeti Állatkerti körúton tervezett fizetős parkolási rend bevezetése</t>
  </si>
  <si>
    <t>87.</t>
  </si>
  <si>
    <t>88.</t>
  </si>
  <si>
    <t xml:space="preserve">      - önkormányzati segély</t>
  </si>
  <si>
    <t xml:space="preserve"> - Különböző vegyes feladatok</t>
  </si>
  <si>
    <t>89.</t>
  </si>
  <si>
    <t>90.</t>
  </si>
  <si>
    <t>Lakásért életjáradék program</t>
  </si>
  <si>
    <t>Egészségügyi és szociális feladatokhoz kapcsolódó kiadások</t>
  </si>
  <si>
    <t>Az elkötelezettség                          időtartama</t>
  </si>
  <si>
    <t>Mályva Óvoda</t>
  </si>
  <si>
    <t xml:space="preserve"> - művészeti tevékenység kedvezménye</t>
  </si>
  <si>
    <t>mértéke             %</t>
  </si>
  <si>
    <t>Ténylegesen lehívott bevétel</t>
  </si>
  <si>
    <t>fizetendő kamat (1,784%)</t>
  </si>
  <si>
    <t>fizetendő kamat (2,469%)</t>
  </si>
  <si>
    <t>fizetendő kamat (1,664%)</t>
  </si>
  <si>
    <t>fizetendő kamat (2,757%)</t>
  </si>
  <si>
    <t>fizetendő kamat (2,387%)</t>
  </si>
  <si>
    <t>83.</t>
  </si>
  <si>
    <t>85.</t>
  </si>
  <si>
    <t>Polgármesteri Hivatal</t>
  </si>
  <si>
    <t>Önkormányzat</t>
  </si>
  <si>
    <t xml:space="preserve">      - lakásfenntartási támogatás - visszaigényelhető</t>
  </si>
  <si>
    <t xml:space="preserve">      - ápolási díj - visszaigényelhető</t>
  </si>
  <si>
    <t xml:space="preserve">      - rendszeres és kiegészítő  gyermekvédelmi támogatás</t>
  </si>
  <si>
    <t xml:space="preserve">      - rendkívüli  gyermekvédelmi támogatás</t>
  </si>
  <si>
    <t>Zuglói Intézménygazdálkodási Központ</t>
  </si>
  <si>
    <t>2012. évi  támogatás</t>
  </si>
  <si>
    <t xml:space="preserve"> - önkormányzati hivatal működésének támogatása</t>
  </si>
  <si>
    <t xml:space="preserve"> - település üzemeltetéshez kapcsolódó feladatellátás támogatása</t>
  </si>
  <si>
    <t xml:space="preserve"> - beszámítás összege</t>
  </si>
  <si>
    <t xml:space="preserve"> - egyéb kötelező önkormányzati feladatok támogatása</t>
  </si>
  <si>
    <t>Óvodai ellátás (bértámogatás, működtetési támogatás, étkeztetési támogatás)</t>
  </si>
  <si>
    <t>Gyermekek napközbeni ellátása (Bölcsődei ellátás) - kedvezményes étkeztetés, ellátás támogatása</t>
  </si>
  <si>
    <t>Települési önkormányzatok által fenntartott, illetve támogatott előadó-művészeti szervezetek támogatása</t>
  </si>
  <si>
    <t>Régen költségvetési törvény 8. sz. melléklete</t>
  </si>
  <si>
    <t>Jogi feladatok</t>
  </si>
  <si>
    <t>Körzetigazgatási feladatok (okmányirodák működése, gyámügyi igazgatás, építésügyi igazgatás)</t>
  </si>
  <si>
    <t>A változás mértéke</t>
  </si>
  <si>
    <t>Kiegészítő hozzájárulás egyéb közoktatási feladatokhoz (nem magyar nyelven folyó nevelés, két tanítási nyelvű oktatás, nemzetiségi nyelvű oktatás, egyéb)</t>
  </si>
  <si>
    <t>ÖSSZESEN:</t>
  </si>
  <si>
    <t>Ellátottak térítési díjának, ill. kártérítésének méltányossági alapon történő elengedése</t>
  </si>
  <si>
    <t>-</t>
  </si>
  <si>
    <t>Zugló Városkártya Projekt</t>
  </si>
  <si>
    <t>2016. év</t>
  </si>
  <si>
    <t>1326/2011. (XI. 17.) KT határozat alapján évente felül kell vizsgálni a folytatás lehetőségeit</t>
  </si>
  <si>
    <t>(önkormányzati tulajdonú és üres lakások felújítása, korszerűsítése)</t>
  </si>
  <si>
    <t>(iparosított technológiával épült lakóépületek energiatakarékos korszerűsítése, felújítása céljából a társasházak részére nyújtandó támogatás)</t>
  </si>
  <si>
    <t>UniCredit Bank Hungary Zrt.  Összesen:</t>
  </si>
  <si>
    <t>1. K &amp; H Bank Zrt. - "ZUGLÓ 2028" KÖTVÉNYKIBOCSÁTÁS</t>
  </si>
  <si>
    <t xml:space="preserve"> - alanyi mentesség Htv 3. § (2)</t>
  </si>
  <si>
    <t xml:space="preserve"> - lakások kedvezménye</t>
  </si>
  <si>
    <t xml:space="preserve"> - garázsok kedvezménye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</si>
  <si>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</si>
  <si>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</si>
  <si>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</si>
  <si>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</si>
  <si>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</si>
  <si>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</si>
  <si>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</si>
  <si>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</si>
  <si>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</si>
  <si>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fizetendő kamat (3,31%)</t>
  </si>
  <si>
    <t>Városüzemeltetési feladatok</t>
  </si>
  <si>
    <t>Kerékgyártó Óvoda - nyílászárók cseréje, játszóház áthelyezés</t>
  </si>
  <si>
    <t xml:space="preserve">2011. évi törlesztés </t>
  </si>
  <si>
    <t>2029. évi törlesztés</t>
  </si>
  <si>
    <t>2030. évi törlesztés</t>
  </si>
  <si>
    <t>2031. évi törlesztés</t>
  </si>
  <si>
    <t>fizetendő kamat (1,72%)</t>
  </si>
  <si>
    <t>ellenőrzés</t>
  </si>
  <si>
    <t>Kisebbségi Önkormányzatok költségvetési határozatai</t>
  </si>
  <si>
    <t>12/2010. (IV. 23.) önkormányzati rendelet 9. § alapján</t>
  </si>
  <si>
    <t>A …./2005. (     ) sz. ZKT rendelethez</t>
  </si>
  <si>
    <t>Budapest Főváros XIV. Kerület Zugló Önkormányzata</t>
  </si>
  <si>
    <t>Budapest Főváros XIV. Kerület Zugló Önkormányzata címrendje</t>
  </si>
  <si>
    <t xml:space="preserve">Budapest Főváros XIV. Kerület Zugló Önkormányzata több éves </t>
  </si>
  <si>
    <t>Budapest Főváros XIV. Kerület Zugló Önkormányzata több éves kihatással járó</t>
  </si>
  <si>
    <t>Budapest Főváros XIV. Kerület Zugló Önkormányzata az államkötvény</t>
  </si>
  <si>
    <t xml:space="preserve">Budapest Főváros XIV. Kerület Zugló Önkormányzata </t>
  </si>
  <si>
    <t>Budapest Főváros XIV. Kerület Zugló Önkormányzata tulajdonában álló</t>
  </si>
  <si>
    <t>kibocsátásához kapcsolódó tőke törlesztési és kamatfizetési terve</t>
  </si>
  <si>
    <t>9.</t>
  </si>
  <si>
    <t>OTP Bank Nyrt. fizetendő kamat</t>
  </si>
  <si>
    <t>Egyéb vegyes feladatok</t>
  </si>
  <si>
    <t>O</t>
  </si>
  <si>
    <t>P</t>
  </si>
  <si>
    <t>bemutatása intézményenként</t>
  </si>
  <si>
    <t>MELLÉKLETEK</t>
  </si>
  <si>
    <t>Összesen:</t>
  </si>
  <si>
    <t>2012.01.01-2016.12.31</t>
  </si>
  <si>
    <t>Zöldterületek, valamint utcai sorfák fenntartása</t>
  </si>
  <si>
    <t>Úthálózat és járdahálózat fenntartása</t>
  </si>
  <si>
    <t>929/2011. (VIII. 25.) KT határozat</t>
  </si>
  <si>
    <t>930/2011. (VIII. 25.) KT határozat</t>
  </si>
  <si>
    <t>adatok eFt-ban (bruttó)</t>
  </si>
  <si>
    <t xml:space="preserve">Települési önkormányzatok üzemeltetési, igazgatási és sport- és kulturális feladatok </t>
  </si>
  <si>
    <t>Elnyert támogatás                összege</t>
  </si>
  <si>
    <t>Helyi adónál, gépjárműadónál biztosított kedvezmény, mentesség összege adónemenként:</t>
  </si>
  <si>
    <t>Helyiségek, eszközök hasznosításából származó bevételből nyújtott kedvezmény, mentesség</t>
  </si>
  <si>
    <t>eFt</t>
  </si>
  <si>
    <t xml:space="preserve"> </t>
  </si>
  <si>
    <t>Útépítés</t>
  </si>
  <si>
    <t>Lakosság részére lakásépítéshez, lakásfelújításhoz nyújtott kölcsönök elengedése</t>
  </si>
  <si>
    <t xml:space="preserve"> - nyugdíjas, kiskorú kedvezménye</t>
  </si>
  <si>
    <t>Csicsergő Óvoda</t>
  </si>
  <si>
    <t>11.</t>
  </si>
  <si>
    <t>12.</t>
  </si>
  <si>
    <t>14.</t>
  </si>
  <si>
    <t>15.</t>
  </si>
  <si>
    <t>26.</t>
  </si>
  <si>
    <t>40.</t>
  </si>
  <si>
    <t>41.</t>
  </si>
  <si>
    <t>OMFB HITELEK ÖSSZESEN:</t>
  </si>
  <si>
    <t>Kamatok OMFB hitelek után:</t>
  </si>
  <si>
    <t>adatok eFt-ban</t>
  </si>
  <si>
    <t>Sportfeladatokhoz kapcsolódó kiadások</t>
  </si>
  <si>
    <t>Budapest Főváros XIV. Kerület Zugló Önkormányzata engedélyezett létszámkeretei és</t>
  </si>
  <si>
    <t>2011. évtől</t>
  </si>
  <si>
    <t>Forgalomtechnikai feladatok</t>
  </si>
  <si>
    <t>ütemterve</t>
  </si>
  <si>
    <t>Összesen</t>
  </si>
  <si>
    <t>Kamat</t>
  </si>
  <si>
    <t>Feladat megnevezése</t>
  </si>
  <si>
    <t>Összes kifizetett költség</t>
  </si>
  <si>
    <t>Elengedés</t>
  </si>
  <si>
    <t>Kedvezmény</t>
  </si>
  <si>
    <t>Ténylegesen megtörtént kifizetések</t>
  </si>
  <si>
    <t>2009. évi támogatás</t>
  </si>
  <si>
    <t>állami támogatás</t>
  </si>
  <si>
    <t>SZJA - normatív</t>
  </si>
  <si>
    <t xml:space="preserve">összesen            </t>
  </si>
  <si>
    <t>%</t>
  </si>
  <si>
    <t>Szociálisa továbbképzés és szakvizsga</t>
  </si>
  <si>
    <t>2016. évi törlesztés</t>
  </si>
  <si>
    <t>működés</t>
  </si>
  <si>
    <t>Zöld Lurkók Óvoda</t>
  </si>
  <si>
    <t>2010. évi támogatás</t>
  </si>
  <si>
    <t>Művészetoktatás (zene, tánc, stb. - alapfok, középfok, párhuzamos)</t>
  </si>
  <si>
    <t>Középszintű érettségi és szakmai vizsga lebonyolítása</t>
  </si>
  <si>
    <t>külön pályázat év közben</t>
  </si>
  <si>
    <t>Szakmai informatikai fejlesztési feladatok támogatása</t>
  </si>
  <si>
    <t>Osztályfőnöki pótlék</t>
  </si>
  <si>
    <t>Gyógypedagógiai pótlék</t>
  </si>
  <si>
    <t>2014-re áthúzódó kiadások</t>
  </si>
  <si>
    <t>A támogatás</t>
  </si>
  <si>
    <t>SZJA - átengedett</t>
  </si>
  <si>
    <t>Sportfeladatok</t>
  </si>
  <si>
    <t>Térítési díj</t>
  </si>
  <si>
    <t>Mindösszesen:</t>
  </si>
  <si>
    <t xml:space="preserve"> - lakás kiegészítő tevékenység Htv. 13. §</t>
  </si>
  <si>
    <t>Különleges gondozás keretében nyújtott ellátás (sajátos nevelési igényű gyermekek)</t>
  </si>
  <si>
    <t>Tanulói tankönyvvásárlás</t>
  </si>
  <si>
    <t>Szakmai és informatikai fejlesztési feladatok</t>
  </si>
  <si>
    <t>Szakmai, tanügy-igazgatási informatikai feladatok támogatása</t>
  </si>
  <si>
    <t>Ténylegesen felhasználható forrás összesen:</t>
  </si>
  <si>
    <t>B. Devizában felvett hitelek  - K &amp; H Bank Zrt. - KÖTVÉNYKIBOCSÁTÁS</t>
  </si>
  <si>
    <t>Zuglói Családsegítő és Gyermekjóléti Központ</t>
  </si>
  <si>
    <t>E</t>
  </si>
  <si>
    <t>49.</t>
  </si>
  <si>
    <t>50.</t>
  </si>
  <si>
    <t>51.</t>
  </si>
  <si>
    <t>52.</t>
  </si>
  <si>
    <t>53.</t>
  </si>
  <si>
    <t>57.</t>
  </si>
  <si>
    <t>59.</t>
  </si>
  <si>
    <t>60.</t>
  </si>
  <si>
    <t>61.</t>
  </si>
  <si>
    <t>63.</t>
  </si>
  <si>
    <t>64.</t>
  </si>
  <si>
    <t>66.</t>
  </si>
  <si>
    <t>67.</t>
  </si>
  <si>
    <t>68.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</si>
  <si>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</si>
  <si>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</si>
  <si>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</si>
  <si>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</si>
  <si>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</si>
  <si>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</si>
  <si>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</si>
  <si>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</si>
  <si>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</si>
  <si>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</si>
  <si>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 xml:space="preserve"> - Lakóépület felújítási hitel (2006.)  </t>
  </si>
  <si>
    <t>Q</t>
  </si>
  <si>
    <t>R</t>
  </si>
  <si>
    <t>U</t>
  </si>
  <si>
    <t>V</t>
  </si>
  <si>
    <t xml:space="preserve"> - egészségügyi tevékenység Htv. 13. §/d.</t>
  </si>
  <si>
    <t xml:space="preserve"> - oktatási nevelési tevékenység Htv. 13. §/d.</t>
  </si>
  <si>
    <t>Ingyenes intézményi étkeztetés</t>
  </si>
  <si>
    <t>Pedagógus továbbképzés</t>
  </si>
  <si>
    <t>Kedvezményes óvodai, iskolai, kollégiumi étkeztetés</t>
  </si>
  <si>
    <t>Tanulók ingyenes tankönyvellátásának támogatása</t>
  </si>
  <si>
    <t>eFt-ba átszámolva</t>
  </si>
  <si>
    <t>1.</t>
  </si>
  <si>
    <t>1. Lakásfelújítási hitelek</t>
  </si>
  <si>
    <t xml:space="preserve">2.  Panel Plusz hitel </t>
  </si>
  <si>
    <t>Felvett hitel összege</t>
  </si>
  <si>
    <t xml:space="preserve">Lakóépület felújítási hitel (2005.) </t>
  </si>
  <si>
    <t>OTP Bank Nyrt.  Összesen:</t>
  </si>
  <si>
    <t xml:space="preserve"> OTP Bank Nyrt. törlesztés összege</t>
  </si>
  <si>
    <t>CIB Bank Zrt.  Összesen:</t>
  </si>
  <si>
    <t>CIB Bank Zrt. törlesztés összege</t>
  </si>
  <si>
    <t>I OTP Bank Nyrt.</t>
  </si>
  <si>
    <t>II. CIB Bank Zrt.</t>
  </si>
  <si>
    <t>Hitelek kamatai összesen:</t>
  </si>
  <si>
    <t xml:space="preserve">CIB Bank Zrt. fizetendő kamat </t>
  </si>
  <si>
    <t>2009. évi törlesztés</t>
  </si>
  <si>
    <t>2010. évi törlesztés</t>
  </si>
  <si>
    <t>2012. évi törlesztés</t>
  </si>
  <si>
    <t>2015. évi törlesztés</t>
  </si>
  <si>
    <t>BEVÉTELI JOGCÍMEK (ÁLLAMI ÉS FORRÁSMEGOSZTÁSI)</t>
  </si>
  <si>
    <t>Az előterjesztés 3. számú melléklete</t>
  </si>
  <si>
    <t>A következő 3 év várható saját bevételeket és adósságot</t>
  </si>
  <si>
    <t>keletkeztető ügyletekből eredő fizetési kötelezettségeket bemutató tábla</t>
  </si>
  <si>
    <t>Örökzöld Óvoda</t>
  </si>
  <si>
    <t>Kerületi összesítő tábla</t>
  </si>
  <si>
    <t>Pedagógus szakkönyvvásárlás</t>
  </si>
  <si>
    <t>Kiegészítő támogatás rászorultsági alapon járó intézményi étkeztetés</t>
  </si>
  <si>
    <t>Kiegészítő támogatás ingyenes tankönyvellátáshoz</t>
  </si>
  <si>
    <t>Diáksporttal kapcsolatos támogatás</t>
  </si>
  <si>
    <t>Pedagógiai szakszolgálat</t>
  </si>
  <si>
    <t>Pedagógiai szakmai szolgáltatás</t>
  </si>
  <si>
    <t>Minőségi fejlesztési feladatok</t>
  </si>
  <si>
    <t>Lakóépület felújítási hitelek törlesztése összesen:</t>
  </si>
  <si>
    <t>A. Forintban felvett hitelek (adatok eFt-ban)</t>
  </si>
  <si>
    <t>Animátor</t>
  </si>
  <si>
    <t>Önkormányzati kedvezmény - 5/2002. (II. 27.) önkormányzati rendelet 5. § (8) bekezdése alapján</t>
  </si>
  <si>
    <t>Munkát végző felnőtt</t>
  </si>
  <si>
    <t>Önkormányzati kedvezmény - 5/2002. (II. 27.) önkormányzati rendelet 5. § (5) bekezdése alapján</t>
  </si>
  <si>
    <t>Civil szervezetek támogatása és alapítványok támogatása</t>
  </si>
  <si>
    <t>Civil szervezetek, egyéb kedvezmények</t>
  </si>
  <si>
    <t>Önkormányzati kedvezmény - 5/2002. (II. 27.) önkormányzati rendelet 5. § (6) bekezdése alapján</t>
  </si>
  <si>
    <t>16.</t>
  </si>
  <si>
    <t>17.</t>
  </si>
  <si>
    <t>18.</t>
  </si>
  <si>
    <t>Az előterjesztés 1. számú melléklete</t>
  </si>
  <si>
    <t>Költségvetési rendelet-tervezet</t>
  </si>
  <si>
    <t>Az előterjesztés 2. számú melléklete</t>
  </si>
  <si>
    <t>7=(4)-(5)</t>
  </si>
  <si>
    <t>költségvetési rendelet-tervezethez</t>
  </si>
  <si>
    <t xml:space="preserve">      - gyermektartásdíj megelőlegezés (kifutó)</t>
  </si>
  <si>
    <t>Köznevelési feladatok</t>
  </si>
  <si>
    <t>Fapótlási kötelezettség</t>
  </si>
  <si>
    <t>Aprófalva Óvoda</t>
  </si>
  <si>
    <t>Óperenciás Óvoda</t>
  </si>
  <si>
    <t>Hétszínvirág Óvoda</t>
  </si>
  <si>
    <t>Narancs Óvoda</t>
  </si>
  <si>
    <t>Rózsavár Óvoda</t>
  </si>
  <si>
    <t>Pöttöm park Óvoda</t>
  </si>
  <si>
    <t>Zuglói Gyermektábor</t>
  </si>
  <si>
    <t xml:space="preserve"> - költségvetési szerv, egyház Htv 13. §/f.</t>
  </si>
  <si>
    <t>80.</t>
  </si>
  <si>
    <t>81.</t>
  </si>
  <si>
    <t>82.</t>
  </si>
  <si>
    <t>2007. évi támogatás</t>
  </si>
  <si>
    <t>2008. évi támogatás</t>
  </si>
  <si>
    <t>összesen</t>
  </si>
  <si>
    <t>Állandó népesség</t>
  </si>
  <si>
    <t>Üdülőhelyi feladatok</t>
  </si>
  <si>
    <t>Lakáshoz jutás, lakás fenntartás támogatásának feltétele</t>
  </si>
  <si>
    <t xml:space="preserve">Helyi közművelődési és közgyűjteményi feladatok ellátása </t>
  </si>
  <si>
    <t>Nappali szociális intézményi ellátás</t>
  </si>
  <si>
    <t>2024. évi törlesztés</t>
  </si>
  <si>
    <t>2025. évi törlesztés</t>
  </si>
  <si>
    <t>2026. évi törlesztés</t>
  </si>
  <si>
    <t>2027. évi törlesztés</t>
  </si>
  <si>
    <t>2028. évi törlesztés</t>
  </si>
  <si>
    <t>CHF-ben</t>
  </si>
  <si>
    <t>Hitelek kamatai összesen CHF-ben (3 hónapos LIBOR + 0,79%):</t>
  </si>
  <si>
    <t>Hitelek törlesztése összesen Ft-ban*:</t>
  </si>
  <si>
    <t>Hitelek kamatai összesen eFt-ban*:</t>
  </si>
  <si>
    <t>Technikai elszámolások</t>
  </si>
  <si>
    <t>Lakóépület felújítási hitelek kamatai összesen:</t>
  </si>
  <si>
    <t>Hitelek törlesztése összesen:</t>
  </si>
  <si>
    <t>Zuglói gyermek</t>
  </si>
  <si>
    <t>Luxusadó</t>
  </si>
  <si>
    <t>A …/2005. (     ) sz. ZKT rendelethez</t>
  </si>
  <si>
    <t>Budapest Főváros XIV. Kerület Zugló Önkormányzat Polgármesteri Hivatala</t>
  </si>
  <si>
    <t>Digitális fényképezőgép beszerzés</t>
  </si>
  <si>
    <t>Páncélszekrények és fém iratszekrények beszerzése</t>
  </si>
  <si>
    <t>Asztali és hordozható számítógépek, nyomtatók, részegységek beszerzése</t>
  </si>
  <si>
    <t>Budapest Főváros XIV. Kerület Zugló Önkormányzata előirányzatai</t>
  </si>
  <si>
    <t>adott vissza nem térítendő támogatásai</t>
  </si>
  <si>
    <t>Budapest Főváros XIV. kerület Zugló Önkormányzata által államháztartáson kívülre adott vissza nem térítendő támogatásai</t>
  </si>
  <si>
    <t>VI. Zugló Önkormányzat komplex szervezetfejlesztése</t>
  </si>
  <si>
    <t>VII. Megújuló energiahordozó felhasználás növelése a Mókavár Óvoda és Bölcsődében</t>
  </si>
  <si>
    <t xml:space="preserve"> VIII. Megújuló energiahordozó felhasználás növelése az Aprótalpak Bölcsődében</t>
  </si>
  <si>
    <t>2014. év</t>
  </si>
  <si>
    <t xml:space="preserve"> = 13/2005. (V. 02.) önkormányzati rendelet kitűntetésekre + minisztériumi kitűntetésekhez adható jutalmak fedezete</t>
  </si>
  <si>
    <t>Budapest Főváros XIV. Kerület Zugló Önkormányzata által Áh. kvülre</t>
  </si>
  <si>
    <t>Z U G L Ó  Ö N K O R M Á N Y Z A T Á N A K</t>
  </si>
  <si>
    <t>2.</t>
  </si>
  <si>
    <t>3.</t>
  </si>
  <si>
    <t>4.</t>
  </si>
  <si>
    <t>5.</t>
  </si>
  <si>
    <t>6.</t>
  </si>
  <si>
    <t>7.</t>
  </si>
  <si>
    <t>Általános tartalék</t>
  </si>
  <si>
    <t>Államháztartáson kívülre adott vissza nem térítendő támogatások összesen:</t>
  </si>
  <si>
    <t>Támogatott megnevezése</t>
  </si>
  <si>
    <t xml:space="preserve">Zuglói Filharmónia Non-profit Kft. működésének támogatása </t>
  </si>
  <si>
    <t>Zuglóiak Egymásért Alapítvány</t>
  </si>
  <si>
    <t>Zuglói Polgárőr és Önkéntes Tűzoltó Egyesület támogatása</t>
  </si>
  <si>
    <t>Egyházak támogatása</t>
  </si>
  <si>
    <t>Zuglói Cserepes Kulturális Non-profit Kft. működésének támogatása</t>
  </si>
  <si>
    <t>Zuglói Sport- és Rendezvényszervező Non-profit kft. támogatása</t>
  </si>
  <si>
    <t>Felhalmozási célú támogatások</t>
  </si>
  <si>
    <t>Működési célú támogatások</t>
  </si>
  <si>
    <t>OVI-FOCI, OVI-SPORT PROGRAM  kiadásai</t>
  </si>
  <si>
    <t>Myrai Vallási Közhasznú Egyesület támogatása</t>
  </si>
  <si>
    <t xml:space="preserve">Ügyeletes gyógyszertár támogatása </t>
  </si>
  <si>
    <t>Tiszta Jövőért Közhasznú Alapítvány támogatása</t>
  </si>
  <si>
    <t>Magyar Vöröskereszt Budapest Fővárosi Szervezete támogatása</t>
  </si>
  <si>
    <t>Gézengúz Alapítvány támogatása</t>
  </si>
  <si>
    <t>Költségvetési törvény 3. melléklete - Üdülőhelyi feladatok támogatása</t>
  </si>
  <si>
    <t>Magyar Máltai Szeretetszolgálat (Együttműködési Szerződés Családi Átmeneti Otthon Ellátására)</t>
  </si>
  <si>
    <t>Magyarországi Református Egyház Bethesda Gyermekkórház támogatása</t>
  </si>
  <si>
    <t>Fiatal házasok első lakáshoz jutása</t>
  </si>
  <si>
    <t xml:space="preserve">Zuglói Közbiztonsági Non-profit Kft. támogatása </t>
  </si>
  <si>
    <t>8.</t>
  </si>
  <si>
    <t>Fővárosi ter. Belterül. Útjainak szilárd burkolattal való ellátása</t>
  </si>
  <si>
    <t>Belterületi utak szilárd burkolattal való ellátása</t>
  </si>
  <si>
    <t>Kötelező tartalékképzés</t>
  </si>
  <si>
    <t>Kamat+kezelési ktg.</t>
  </si>
  <si>
    <t>2017. évi törlesztés</t>
  </si>
  <si>
    <t>2018. évi törlesztés</t>
  </si>
  <si>
    <t>2019. évi törlesztés</t>
  </si>
  <si>
    <t>2020. évi törlesztés</t>
  </si>
  <si>
    <t>2021. évi törlesztés</t>
  </si>
  <si>
    <t>2022. évi törlesztés</t>
  </si>
  <si>
    <t>2023. évi törlesztés</t>
  </si>
  <si>
    <t>Zuglói Tihany Óvoda</t>
  </si>
  <si>
    <t>1. Lakástámogatási hitel - OMFB hitel</t>
  </si>
  <si>
    <t>kiadásai feladatonként</t>
  </si>
  <si>
    <t>feladatonként</t>
  </si>
  <si>
    <t>Intézmény</t>
  </si>
  <si>
    <t>Teljesítés          %-a</t>
  </si>
  <si>
    <t xml:space="preserve">      - munkanélküliek jövedelempótló támogatása</t>
  </si>
  <si>
    <t xml:space="preserve">      - pénzbeli kárpótlás</t>
  </si>
  <si>
    <t xml:space="preserve">      - lakossági temetési segély</t>
  </si>
  <si>
    <t xml:space="preserve">      - köztemetés</t>
  </si>
  <si>
    <t xml:space="preserve">      - közgyógyellátás</t>
  </si>
  <si>
    <t>Gyermekek védelméről szóló törvény 18-20/C, 29. § (2) bekezdése, valamint a 149/1997. (IX. 10.) Korm.rend. 65-67. § szerint</t>
  </si>
  <si>
    <t xml:space="preserve">      - szociálisan hátrányos helyzetben lévők </t>
  </si>
  <si>
    <t xml:space="preserve"> TARTALÉKOK MINDÖSSZESEN:</t>
  </si>
  <si>
    <t>általános</t>
  </si>
  <si>
    <t>50,0-75,0</t>
  </si>
  <si>
    <t>Szociális törvény általi automatikus méltányolás - Szt. 114. § (1), (3) bekezdések, 116. §  (3) bekezdés</t>
  </si>
  <si>
    <t>Önkormányzati kedvezmény - 5/2002. (II. 27.) önkormányzati rendelet 5. § (1), (4) bekezdése alapján</t>
  </si>
  <si>
    <t xml:space="preserve"> - méltányosságból történő elengedés Art. 133. §.</t>
  </si>
  <si>
    <t xml:space="preserve">Helyi támogatással kapcsolatos lakásvásárlási és építési kölcsön tekintetében </t>
  </si>
  <si>
    <t>Tücsöktanya Óvoda</t>
  </si>
  <si>
    <t xml:space="preserve">Tündérkert  Óvoda </t>
  </si>
  <si>
    <t>Mókavár  Óvoda</t>
  </si>
  <si>
    <t>Napraforgó  Óvoda</t>
  </si>
  <si>
    <t xml:space="preserve">Zuglói Egészségügyi Szolgálat </t>
  </si>
  <si>
    <t>Munkát végző pedagógus tanköteles gyermekei</t>
  </si>
  <si>
    <t>KMOP-4.5.2-11 Szociális alapszolgáltatások és gyermekjóléti alapellátások infrastrukturális fejlesztése - új bölcsődei férőhelyek kialakítása, új telephelyen Zuglóban</t>
  </si>
  <si>
    <t>Szent István Gimnázium - tetőfedés és bádogos szerkezetek cseréje</t>
  </si>
  <si>
    <t>Iskolai ellátás (általános iskola, középfokú iskola, iskolai szakképzés, elméleti képzés, napközis/tanulószobai foglalkoztatás)</t>
  </si>
  <si>
    <t>Lakástámogatás (OMFB Hitel)</t>
  </si>
  <si>
    <t xml:space="preserve">Felújítási hitel (1998.) - OTP Bank Rt. </t>
  </si>
  <si>
    <t>törlesztés összege</t>
  </si>
  <si>
    <t>Kötvénykibocsátásból megvalósuló kiadások</t>
  </si>
  <si>
    <t xml:space="preserve"> = az önkormányzat forgalomképtelen és korlátozottan forgalomképes törzsvagyonát érintő fejlesztések fedezete</t>
  </si>
  <si>
    <t>W</t>
  </si>
  <si>
    <t>Összes rendelkezésre               álló forrás</t>
  </si>
  <si>
    <t>Feladat megnevezése                                                                     Év</t>
  </si>
  <si>
    <t>adósságot keletkeztetett ügyleteinek kötelezettségei</t>
  </si>
  <si>
    <t>Gyermekek védelméről szóló törvény 151. § (5) bekezdés b) pontja szerint (rendszeres gyermekvédelmi kedvezményben részesülő)</t>
  </si>
  <si>
    <t>Gyermekek védelméről szóló törvény 151. § (5) bekezdés c) pontja szerint (3 vagy több gyermekes család)</t>
  </si>
  <si>
    <t>Gyermekek védelméről szóló törvény 151. § (5) bekezdés d) pontja szerint (tartósan beteg, fogyatékos gyermek)</t>
  </si>
  <si>
    <t>Gyermekek védelméről szóló törvény 151. § (5) bekezdés a) pontja szerint</t>
  </si>
  <si>
    <t xml:space="preserve"> - költségvetési szerv, egyház Htv. 13. §/f.</t>
  </si>
  <si>
    <t xml:space="preserve"> - alanyi mentesség Htv. 3. § (2)</t>
  </si>
  <si>
    <t xml:space="preserve"> - növénytermesztés Htv. 13. §/h.</t>
  </si>
  <si>
    <t>Bölcsődékbe, óvodákba és iskolákba járó gyermekek</t>
  </si>
  <si>
    <t>többéves kihatással járó kötelezettségvállalási keret-előirányzatai</t>
  </si>
  <si>
    <t>Önkormányzati méltányolás a 7/2010. (III. 31.) önkormányzati rendelet 7. § (1)-(3) bekezdések alapján</t>
  </si>
  <si>
    <t>10,00-99,00</t>
  </si>
  <si>
    <t>TARTALOMJEGYZÉK</t>
  </si>
  <si>
    <t>oldal</t>
  </si>
  <si>
    <t>Bóbita Óvoda</t>
  </si>
  <si>
    <t>Kincskereső Óvoda</t>
  </si>
  <si>
    <t>Az előterjesztés 9. sz. melléklete</t>
  </si>
  <si>
    <t>Egyéb</t>
  </si>
  <si>
    <t>Cseperedő Óvoda</t>
  </si>
  <si>
    <t>Napsugár Óvoda</t>
  </si>
  <si>
    <t xml:space="preserve">A Képviselő-testület </t>
  </si>
  <si>
    <t xml:space="preserve">B U D A P E S  T    F Ő V Á R O S </t>
  </si>
  <si>
    <t xml:space="preserve"> X I V.  K E R Ü L E T</t>
  </si>
  <si>
    <t>2011. év</t>
  </si>
  <si>
    <t>2012. év</t>
  </si>
  <si>
    <t>Napköziotthonos Óvoda (Dózsa Óvoda)</t>
  </si>
  <si>
    <t>Herminka Óvoda</t>
  </si>
  <si>
    <t>Meseház Óvoda</t>
  </si>
  <si>
    <t>Játékszín Óvoda</t>
  </si>
  <si>
    <t>Kerékgyártó Óvoda</t>
  </si>
  <si>
    <t>2015. ÉVI KÖLTSÉGVETÉSI</t>
  </si>
  <si>
    <t xml:space="preserve">Budapest Főváros XIV. Kerület Zugló Önkormányzata több éves kihatással járó                                                                                                                                                                                   adósságot keletkeztetett ügyleteinek kötelezettségei                                      </t>
  </si>
  <si>
    <r>
      <t xml:space="preserve">2013. évi törlesztés/          </t>
    </r>
    <r>
      <rPr>
        <b/>
        <u val="singleAccounting"/>
        <sz val="13.5"/>
        <rFont val="MS Sans Serif"/>
        <family val="2"/>
      </rPr>
      <t xml:space="preserve"> konszolidáció</t>
    </r>
  </si>
  <si>
    <r>
      <t xml:space="preserve">2014. évi törlesztés/ </t>
    </r>
    <r>
      <rPr>
        <b/>
        <u val="singleAccounting"/>
        <sz val="13.5"/>
        <rFont val="MS Sans Serif"/>
        <family val="2"/>
      </rPr>
      <t>konszolidáció</t>
    </r>
  </si>
  <si>
    <t>EUR-ban (2013. szeptember 18-tól)</t>
  </si>
  <si>
    <t>állami adósságkonszolidáció 2014. évben</t>
  </si>
  <si>
    <t>állami adósságkonszolidáció kamata 2014. évben</t>
  </si>
  <si>
    <t>Kamatfizetési kötelezettség összesen-konszolidációval együtt (3+55):</t>
  </si>
  <si>
    <t>Hitelek törlesztése összesen - konszolidációval együtt (2+54):</t>
  </si>
  <si>
    <t>Fennálló tőke és kamat törlesztések összesen                                     (2015-től)</t>
  </si>
  <si>
    <t>1.  Folyószámla hitelből működési hitel</t>
  </si>
  <si>
    <t>Folyószámla hitelek törlesztése összesen:</t>
  </si>
  <si>
    <t>Folyószámla hitelek kamatai összesen:</t>
  </si>
  <si>
    <t>2019. év</t>
  </si>
  <si>
    <t xml:space="preserve">Fehér Kereszt Baráti Kör Kiemelten Közhasznú Egyesület </t>
  </si>
  <si>
    <t>2004. dec. 22-en megkötött</t>
  </si>
  <si>
    <t>határozatlan idejű közszolg. sz.</t>
  </si>
  <si>
    <t>Kőbánya X. kerület Önkormányzatával ellátási szerződés gyermekek átm. otthona</t>
  </si>
  <si>
    <t>2014. július 1 -2019. 06. 30</t>
  </si>
  <si>
    <t>615/2014 (VI. 19.) KT határozat</t>
  </si>
  <si>
    <t>Bolgár Országos Önkormányzattal kötött együttműködési megállapodás óvodai ellátásra</t>
  </si>
  <si>
    <t>2013.05.30-2018.08.31.</t>
  </si>
  <si>
    <t>BVSC-vel kötött együttműködési megállapodás óvodai ellátásra</t>
  </si>
  <si>
    <t>2014.06.24-2019.08.31.</t>
  </si>
  <si>
    <t xml:space="preserve">Hátrányos Helyzetű Tanulók Arany János Tehetséggondozó Programjának támogatása </t>
  </si>
  <si>
    <t>2011.09.01-2016.06.15.</t>
  </si>
  <si>
    <t>208/2013. (IV.25.) KT határozat</t>
  </si>
  <si>
    <t>606/2014. (VI.19.)  KT határozat</t>
  </si>
  <si>
    <t>121/2013. (II. 27.) KT határozat</t>
  </si>
  <si>
    <t>2009/2010. (XI.18.) KT határozat</t>
  </si>
  <si>
    <t>Amennyiben a források lehetővé teszik, úgy az aktuális éves költségvetési rendelet tartalmazza az összeget.</t>
  </si>
  <si>
    <t>Üzemeltetési feladatok</t>
  </si>
  <si>
    <t>Budapest Főváros XIV. kerület Zugló Önkormányzata 2015. évi közvetett támogatásai terv szinten</t>
  </si>
  <si>
    <t>Önkormányzati támogatás - intézményi-személyi térítési díj különbözet -  1/2014. (II.18.) önkormányzati rendelet 6. § alapján</t>
  </si>
  <si>
    <t>2015. évi tervjavaslat (áthúzódó kötelezettség nélkül)</t>
  </si>
  <si>
    <t>2013. évi teljesülés</t>
  </si>
  <si>
    <t>2014. évi várható teljesülés</t>
  </si>
  <si>
    <t>2015. évi tervjavaslat</t>
  </si>
  <si>
    <t>Budapest Főváros XIV. Kerület Zugló Önkormányzata                                                                    lakosságát érintő szociális juttatások</t>
  </si>
  <si>
    <t>2015. évi általános tartaléka és céltartalékai</t>
  </si>
  <si>
    <t>2015. évi terv</t>
  </si>
  <si>
    <t>2015. évi előirányzat összesen</t>
  </si>
  <si>
    <t>2015. évi önkormányzati céltartalékban</t>
  </si>
  <si>
    <t>Budapest Főváros XIV. Kerület Zugló Önkormányzata 2015. évi felújítási kiadásai feladatonként</t>
  </si>
  <si>
    <t xml:space="preserve">
Várható állami támogatások és forrásmegosztási bevételek alakulása</t>
  </si>
  <si>
    <t xml:space="preserve">2015. évi támogatás    </t>
  </si>
  <si>
    <t>2014=100%</t>
  </si>
  <si>
    <t>115 696 fő</t>
  </si>
  <si>
    <t>Önkormányzati kedvezmény -  1/2014. (II.18.) önkormányzati rendelet 6. § (1)-(4) bekezdései alapján</t>
  </si>
  <si>
    <t xml:space="preserve">          természetbeni juttatása</t>
  </si>
  <si>
    <t xml:space="preserve">      - tanévkezdési támogatás</t>
  </si>
  <si>
    <t xml:space="preserve">      - különböző jogcímen járó szociális segélyek </t>
  </si>
  <si>
    <t xml:space="preserve">         (2015. évtől változó jogszabály miatt már csak a kifutó tételek)</t>
  </si>
  <si>
    <t xml:space="preserve">      - gyermekétkeztetési díjkedvezmény</t>
  </si>
  <si>
    <t xml:space="preserve">      - rendkívüli települési támogatás (jogszabály voltázás miatti </t>
  </si>
  <si>
    <t>2015. évi előirányzat</t>
  </si>
  <si>
    <t>Zuglói Közbiztonsági Non-profit Kft. Támogatása (fizető parkoló üzemeltető rendszer működéséhez szükséges tárgyi, pézügyi és személyi feltéptelek biztosítására.</t>
  </si>
  <si>
    <r>
      <t xml:space="preserve"> = Zuglói Közbiztonsági Non-profit Kft. Támogatása (</t>
    </r>
    <r>
      <rPr>
        <u val="single"/>
        <sz val="12"/>
        <rFont val="Times New Roman"/>
        <family val="1"/>
      </rPr>
      <t xml:space="preserve">fizető parkoló üzemeltető rendszer működéséhez szükséges </t>
    </r>
    <r>
      <rPr>
        <sz val="12"/>
        <rFont val="Times New Roman"/>
        <family val="1"/>
      </rPr>
      <t xml:space="preserve">tárgyi, pézügyi és </t>
    </r>
    <r>
      <rPr>
        <u val="single"/>
        <sz val="12"/>
        <rFont val="Times New Roman"/>
        <family val="1"/>
      </rPr>
      <t>személyi feltételek biztosítására</t>
    </r>
    <r>
      <rPr>
        <sz val="12"/>
        <rFont val="Times New Roman"/>
        <family val="1"/>
      </rPr>
      <t>)</t>
    </r>
  </si>
  <si>
    <r>
      <t xml:space="preserve"> = Zuglói Közbiztonsági Non-profit Kft. Támogatása (</t>
    </r>
    <r>
      <rPr>
        <u val="single"/>
        <sz val="12"/>
        <rFont val="Times New Roman"/>
        <family val="1"/>
      </rPr>
      <t>fizető parkoló üzemeltető rendszer működéséhez szükséges tárgyi</t>
    </r>
    <r>
      <rPr>
        <sz val="12"/>
        <rFont val="Times New Roman"/>
        <family val="1"/>
      </rPr>
      <t xml:space="preserve">, pézügyi és személyi </t>
    </r>
    <r>
      <rPr>
        <u val="single"/>
        <sz val="12"/>
        <rFont val="Times New Roman"/>
        <family val="1"/>
      </rPr>
      <t>feltételek biztosítására</t>
    </r>
    <r>
      <rPr>
        <sz val="12"/>
        <rFont val="Times New Roman"/>
        <family val="1"/>
      </rPr>
      <t>)</t>
    </r>
  </si>
  <si>
    <t xml:space="preserve"> = Projekt és pályázat előkészítési alap, pályázati önerő</t>
  </si>
  <si>
    <t xml:space="preserve"> = Sportcélú pályázati támogatások (óvodák, iskolák, SE-k, sportszervezetek)</t>
  </si>
  <si>
    <t xml:space="preserve"> = Egészségügyi Szolgálat felújítási és beruházási kiadásai</t>
  </si>
  <si>
    <t xml:space="preserve"> = szociális kiadások fedezete a jogszabály változásokhoz kapcsolódóan</t>
  </si>
  <si>
    <t>Intézményi vis major keret - polgármesteri hatáskörben</t>
  </si>
  <si>
    <t xml:space="preserve"> = Intézményi vis major keret - polgármesteri hatáskörben</t>
  </si>
  <si>
    <t>Önkormányzati vagyonnal kapcsolatos feladatok</t>
  </si>
  <si>
    <t xml:space="preserve"> = Intézményi felújítások és beruházások fedezete - Zuglói Városgazdálkodási Közszolgáltató Zrt. bonyolításában</t>
  </si>
  <si>
    <t xml:space="preserve"> = Feladatváltozás</t>
  </si>
  <si>
    <t xml:space="preserve"> = Intézményi étkezés kiegészítése (félhavi)</t>
  </si>
  <si>
    <t xml:space="preserve"> = Komplex mérés és képességfejlesztés óvodákban</t>
  </si>
  <si>
    <t>Önkormányzati fenntartású intémzények költségvetésében tervezett keretek</t>
  </si>
  <si>
    <t>Zuglói Egészségügyi Szolgálat</t>
  </si>
  <si>
    <t>Mókavár Óvoda</t>
  </si>
  <si>
    <t>Dózsa Óvoda</t>
  </si>
  <si>
    <t>Napraforgó Óvoda</t>
  </si>
  <si>
    <t>Pöttöm Park Óvoda</t>
  </si>
  <si>
    <t>Tündérkert Óvoda</t>
  </si>
  <si>
    <t>Zuglói Szociális Szolgáltató Központ</t>
  </si>
  <si>
    <t xml:space="preserve"> - egyéb építmény beszerzése, létesítése</t>
  </si>
  <si>
    <t xml:space="preserve"> - kisértékű és nagyértékű informatikai gép beszerzése</t>
  </si>
  <si>
    <t xml:space="preserve"> - kisértékű és nagyértékű tárgyi eszközök, gépek, berendezések, felszerelések beszerzése</t>
  </si>
  <si>
    <t xml:space="preserve"> - vagyoni jogok beszerzése</t>
  </si>
  <si>
    <t xml:space="preserve"> - Humánigazgatási feladatok</t>
  </si>
  <si>
    <t xml:space="preserve"> - informatikai eszközök felújítása</t>
  </si>
  <si>
    <t xml:space="preserve"> - egyéb gép berendezés felújítása</t>
  </si>
  <si>
    <t>Térinformatikai szoftver fejlesztése</t>
  </si>
  <si>
    <t>Pavilonok beszerzése</t>
  </si>
  <si>
    <t>PH épületének tetőszigetelése</t>
  </si>
  <si>
    <t>10%-os bérleti díj csökkentés a Képviselő-testület 119/2014. (II.20.) számú határozata alapján, valamint 18/2005 (V.2.) 7.§ (6) bekezdése alapján; 14/2004  (III. 29) 11 § (4) bekezdése alapján</t>
  </si>
  <si>
    <t>Köbiztonság növelését szolgáló önkormányzati fejlesztések támogatáshoz kapcsolódó feladatok</t>
  </si>
  <si>
    <t>Mogyoródi úti Sportház fejlesztése</t>
  </si>
  <si>
    <t>Széchenyi István Általános Iskola kerítésének felújítása</t>
  </si>
  <si>
    <t>KEOP-5.5.0/A/12-2013-0389 Épületenergetikai fejlesztés a zuglói Hunyadi János Általános Iskolában</t>
  </si>
  <si>
    <t>Katasztrófavédelem részére különböző eszközbeszerzések</t>
  </si>
  <si>
    <t xml:space="preserve"> - Informatikai feladatok</t>
  </si>
  <si>
    <t>Informatikai hálózati szerver cseréje, korszerűsítése, installálása</t>
  </si>
  <si>
    <t xml:space="preserve"> - Városépítési feladatok</t>
  </si>
  <si>
    <t>KSZT végrehajtásához kapcsolódó feladatok</t>
  </si>
  <si>
    <t>Közparkban ivókút elhelyezése (Zsolnay Kút)</t>
  </si>
  <si>
    <t>Út-, járdaépítés, szőnyegezés, közmű és forgalomtechnikai tervek</t>
  </si>
  <si>
    <t>Park, játszótér építése</t>
  </si>
  <si>
    <t>Második Zuglói közösségi kert kialakítása</t>
  </si>
  <si>
    <t>Intézményekhez, nem lakás és lakóépülethez kapcsolódóan közüzemi hálózatok bővítése</t>
  </si>
  <si>
    <t xml:space="preserve"> - Intézményi felújtások</t>
  </si>
  <si>
    <t>Mici Mackó Bölcsőde (csak áthúzódó)</t>
  </si>
  <si>
    <t>Tündérkert Óvoda (csak áthúzódó)</t>
  </si>
  <si>
    <t>Kerületi intzéményekben sportpályák lefedése</t>
  </si>
  <si>
    <t>Őrs vezér tere közösségi terének fejlesztése</t>
  </si>
  <si>
    <t>Parkoló építés</t>
  </si>
  <si>
    <t>"Kék Óvoda" visszavásárlása</t>
  </si>
  <si>
    <t>Kazáncsere</t>
  </si>
  <si>
    <t xml:space="preserve"> - Lakásgazdálkodási feladatok</t>
  </si>
  <si>
    <t>Lakásingatlanok vásárlása (1146 Budapest, Csantavér u. 10. szám alatt fekvő, kivett lakóház, udvar)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</si>
  <si>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</si>
  <si>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</si>
  <si>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</si>
  <si>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</si>
  <si>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</si>
  <si>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</si>
  <si>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</si>
  <si>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</si>
  <si>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</si>
  <si>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</si>
  <si>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</si>
  <si>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</si>
  <si>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</si>
  <si>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</si>
  <si>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</si>
  <si>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</si>
  <si>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</si>
  <si>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</si>
  <si>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</si>
  <si>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</si>
  <si>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</si>
  <si>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</si>
  <si>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</si>
  <si>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Önrész/saját nem elszámolható költségekre</t>
  </si>
  <si>
    <t>VII. "Zugló zugok nélkül"                                                               - TÁMOP 5.6.1.B-11/1 "A bűnmegelőzés szempontjából kiemelten fontos, bűnelkövető és bűnelkövetés szempontjából veszélyeztetett gyermek- és fiatalkorúak segítése</t>
  </si>
  <si>
    <t>X. Épületenergetikai fejlesztés a zuglói Hunyadi János Általános Iskolában</t>
  </si>
  <si>
    <t xml:space="preserve">  - KEOP-5.5.0/A/12-2013-0389</t>
  </si>
  <si>
    <t>európai uniós pályázatokhoz kapcsolódó kiadásai és bevételei</t>
  </si>
  <si>
    <t xml:space="preserve">lakóépületek és lakások, valamint helyiségek és egyéb épületek </t>
  </si>
  <si>
    <t>2015. ÉVI KÖLTSÉGVETÉSI TERVEZETE</t>
  </si>
  <si>
    <t>……  /2015. (       ) rendelete</t>
  </si>
  <si>
    <t>a 2015. évi költségvetésről</t>
  </si>
  <si>
    <t xml:space="preserve">Bevezető Budapest Főváros XIV. Kerület Zugló Önkormányzata 2015. évi </t>
  </si>
  <si>
    <t>1.  melléklet a(z) ..../2015. (        ) önkormányzati rendelethez</t>
  </si>
  <si>
    <t>2.  melléklet a(z) ..../2015. (        ) önkormányzati rendelethez</t>
  </si>
  <si>
    <t>3.  melléklet a(z) ..../2015. (        ) önkormányzati rendelethez</t>
  </si>
  <si>
    <t>az ellátottak száma 2015. január 01-től</t>
  </si>
  <si>
    <t>4.  melléklet a(z) ..../2015. (        ) önkormányzati rendelethez</t>
  </si>
  <si>
    <t>6.  melléklet a(z) ..../2015. (        ) önkormányzati rendelethez</t>
  </si>
  <si>
    <t>Budapest Főváros XIV. Kerület Zugló Önkormányzata 2015. évi felújítási</t>
  </si>
  <si>
    <t>7.  melléklet a(z) ..../2015. (        ) önkormányzati rendelethez</t>
  </si>
  <si>
    <t>8.  melléklet a(z) ..../2015. (        ) önkormányzati rendelethez</t>
  </si>
  <si>
    <t xml:space="preserve">Budapest Főváros XIV. Kerület Zugló Önkormányzata 2015. évi céltartaléka </t>
  </si>
  <si>
    <t>9.  melléklet a(z) ..../2015. (        ) önkormányzati rendelethez</t>
  </si>
  <si>
    <t>10.  melléklet a(z) ..../2015. (        ) önkormányzati rendelethez</t>
  </si>
  <si>
    <t>11.  melléklet a(z) ..../2015. (        ) önkormányzati rendelethez</t>
  </si>
  <si>
    <t>Budapest Főváros XIV. Kerület Zugló Önkormányzata 2015. évi előirányzat-felhasználási</t>
  </si>
  <si>
    <t>12.  melléklet a(z) ..../2015. (        ) önkormányzati rendelethez</t>
  </si>
  <si>
    <t xml:space="preserve">Budapest Főváros XIV. Kerület Zugló Önkormányzata 2015. évi </t>
  </si>
  <si>
    <t>12/2.  melléklet a(z) ..../2015. (        ) önkormányzati rendelethez</t>
  </si>
  <si>
    <t>13.  melléklet a(z) ..../2015. (        ) önkormányzati rendelethez</t>
  </si>
  <si>
    <t xml:space="preserve"> felújításának pénzügyi igénye 2015. évre</t>
  </si>
  <si>
    <t>15.  melléklet a(z) ..../2015. (        ) önkormányzati rendelethez</t>
  </si>
  <si>
    <t>16.  melléklet a(z) ..../2015. (        ) önkormányzati rendelethez</t>
  </si>
  <si>
    <t>17.  melléklet a(z) ..../2015. (        ) önkormányzati rendelethez</t>
  </si>
  <si>
    <t>18.  melléklet a(z) ..../2015. (        ) önkormányzati rendelethez</t>
  </si>
  <si>
    <t>19.  melléklet a(z) ..../2015. (        ) önkormányzati rendelethez</t>
  </si>
  <si>
    <t>20.  melléklet a(z) ..../2015. (        ) önkormányzati rendelethez</t>
  </si>
  <si>
    <t>21.  melléklet a(z) ..../2015. (        ) önkormányzati rendelethez</t>
  </si>
  <si>
    <t>22.  melléklet a(z) ..../2015. (        ) önkormányzati rendelethez</t>
  </si>
  <si>
    <t>17.  melléklet a a(z) ..../2015. (        ) önkormányzati rendelethez</t>
  </si>
  <si>
    <t>5.  melléklet a(z) ..../2015. (        ) önkormányzati rendelethez</t>
  </si>
  <si>
    <t>Budapest Főváros XIV. Kerület Zugló Önkormányzata 3 éves gördülő terve</t>
  </si>
  <si>
    <t>14.  melléklet a(z) ..../2015. (        ) önkormányzati rendelethez</t>
  </si>
  <si>
    <t>Budapest Főváros XIV. Kerület Zugló Önkormányzata címrendje a városüzemeltetési fejlesztésekről</t>
  </si>
  <si>
    <t>Budapest Főváros XIV. Kerület Zugló Önkormányzata címrendje a kötvényes fejlesztésekről</t>
  </si>
  <si>
    <t>Önkormányzati támogatás - az eladási ár és az intézményi térítési díj különbözete - Szt. 115. § (1) bekezdései alapján</t>
  </si>
  <si>
    <t>Ügyvédi kiadások, jogi képviselet peres és peren kívüli eljárásokban, stb.</t>
  </si>
  <si>
    <t>folyamatos</t>
  </si>
  <si>
    <t>Szerződések alapján, több partnerrel</t>
  </si>
  <si>
    <t>Az önkormányzat által működtetett, főzőkonyhával nem rendelkező általános iskolás és középiskolai intézmények tálalókonyha üzemeltetési feladatok ellátása</t>
  </si>
  <si>
    <t xml:space="preserve">Közbeszerzés útján </t>
  </si>
  <si>
    <t>2014.12.01-2017.08.31                                (illetve egyszer hosszabbítható 2017.09.01-2022.08.31)</t>
  </si>
  <si>
    <t>Őrzés-védelem (PH objektumai, ZESZ) - jogszabályi változás miatti növekménnyel</t>
  </si>
  <si>
    <t>18/2005 (V.2.) 7.§ (6) bekezdése alapján,                                             14/2004. (III.29.) 11. § (4) bekezdése alapján</t>
  </si>
  <si>
    <t>Budapest Főváros XIV. kerület Zugló Önkormányzata által államháztartáson belülre adott vissza nem térítendő támogatásai</t>
  </si>
  <si>
    <t>Államháztartáson belülre adott vissza nem térítendő támogatások összesen:</t>
  </si>
  <si>
    <t>23.  melléklet a(z) ..../2015. (        ) önkormányzati rendelethez</t>
  </si>
  <si>
    <t>Rendőrség támogatása</t>
  </si>
  <si>
    <t>Zuglói Közbiztonsági Non-profit Kft. támogatása (térfigyelő rendszer bővítése, közbiztonság fejlesztése, társasházi kameraprogram, stb .)</t>
  </si>
  <si>
    <t>Nemzetiségi Önkormányzatok támogatása</t>
  </si>
  <si>
    <t xml:space="preserve">      - települési támogatás (jogszabály voltázás miatti új jogcím) </t>
  </si>
  <si>
    <t>Családi Átmeneti Otthona működtetése (Szociális és Rehabilitációs Alapítvány)</t>
  </si>
  <si>
    <t>Bursa Hungarica - felsőoktatási diákösztöndíj</t>
  </si>
  <si>
    <t>Bolgár Országos Önkormányzattal kötött együttműködési megállapodás</t>
  </si>
  <si>
    <t>BVSC - sportóvodai ellátás támogatása</t>
  </si>
  <si>
    <t xml:space="preserve">Kiemelt fejlesztések előkészítéséhez szükséges tervek, tanulmányok, szakértők, értékbecslések kiadásai </t>
  </si>
  <si>
    <t>Herman Ottó Általános Iskola - kazánfelújítás</t>
  </si>
  <si>
    <t>Önkormányzati tulajdonban álló lakásokra fennálló bérleti jogviszony pénzbeli megváltása</t>
  </si>
  <si>
    <t>BVSC támogatása - TAO pályázat önereje - nem kötvényes</t>
  </si>
  <si>
    <t>BVSC támogatása - TAO pályázat önereje - kötvényes</t>
  </si>
  <si>
    <t>Elidegenítésből szolgálati lakásra utalás</t>
  </si>
  <si>
    <t>Budapest Főváros XIV. Kerület Zugló Önkormányzata által Áh. Belülre</t>
  </si>
  <si>
    <t xml:space="preserve"> - Városüzemeltetési feladatok (részletes címjegyzék a 16. mellékletben)</t>
  </si>
  <si>
    <t xml:space="preserve"> - Kötvényből megvalósuló fejlesztések kiadásai (részletes címjegyzék a 15. mellékletben)</t>
  </si>
  <si>
    <t xml:space="preserve"> - Zuglói Városgazdálkodási Közszolgáltató ZRt. működéséhez kapcsolódó kiadások (részletes címjegyzék a 14. mellékletben)</t>
  </si>
  <si>
    <t>Budapest Főváros XIV. Kerület Zugló Önkormányzata 2015. évi beruházási</t>
  </si>
  <si>
    <t>Budapest Főváros XIV. Kerület Zugló Önkormányzata 2015. évi beruházási kiadásai feladatonként</t>
  </si>
  <si>
    <t>kívülről kapott támogatásai</t>
  </si>
  <si>
    <t xml:space="preserve">Budapest Főváros XIV. kerület Zugló Önkormányzatánk államháztartáson                                                   </t>
  </si>
  <si>
    <t>belülről kapott támogatásai</t>
  </si>
  <si>
    <t xml:space="preserve">Budapest Főváros XIV. kerület Zugló Önkormányzata kötelező, önként és állami              </t>
  </si>
  <si>
    <t>feladatainak ellátási módja és mértéke</t>
  </si>
  <si>
    <t>Egyéb működési és felhalmozási célú ÁH-n belülről kapott támogatások összesen:</t>
  </si>
  <si>
    <t>Egyéb működési és felhalmozási célú ÁH-n kívülről átvett pénzeszköz összesen:</t>
  </si>
  <si>
    <t>Intézményi 5%-os működési megtakarítási kötelezettség</t>
  </si>
  <si>
    <t>KMOP-4.5.2-11-2012-0008 Új bölcsődei férőhelyek kialakítása, új telephelyen Zuglóban elnevezésű projekt támogatási bevétele</t>
  </si>
  <si>
    <t>KMOP-4.6.1-11-2012-0037 Csicsergő Óvoda fejlesztése új telephely kialakításával  projekt támogatási bevétele</t>
  </si>
  <si>
    <t>KMOP-3.3.3-13-2013-0032 Megújuló energiahordozó felhasználás növelése az Aprótalpak Bölcsődében projekt támogatási bevétele</t>
  </si>
  <si>
    <t>KMOP-3.3.3-13-2013-0022 Megújuló energiahordozó felhasználás növelése a Mókavár Óvoda és Bölcsődében projekt támogatási bevétele</t>
  </si>
  <si>
    <t>TÉR_KÖZ Mogyoródi úti közösségi sportpálya fejlesztéséhez kapott támogatás</t>
  </si>
  <si>
    <t>KEOP-5.5.0/A/12-2013-0389 Épületenergetikai fejlesztés a zuglói Hunyadi János Általános Iskolában projekt támogatási bevétele</t>
  </si>
  <si>
    <t>Mogyoródi úti Sporttelep fejlesztésének támogatása (Költségvetési törvény 10- melléklete alapján)</t>
  </si>
  <si>
    <t>Interreg SEE - Silver City projekthez kapcsolódó támogatás bevétele</t>
  </si>
  <si>
    <t>Polgármesteri Hivatal - Közfoglalkoztatás bevétele</t>
  </si>
  <si>
    <t>Megváltozott munkaképességű emberek rehabilitációjának és foglakoztatásának segítése</t>
  </si>
  <si>
    <t>Társadalombiztosítási alapoktól kapott működési támogatás (ZESZ)</t>
  </si>
  <si>
    <t xml:space="preserve">2015. évi tervjavaslat </t>
  </si>
  <si>
    <t>Az összegek nem tartalmazzák az önkormányzati hivatal és az intézmények tekintetében az áthúzódó kiadási kötelezettségeik bevételi ellentételezését (le nem utalt finanszírozás),</t>
  </si>
  <si>
    <t>Polgármesteri Hivatal - 2014. évi önkormányzati polgármester és képviselőválasztás pótigénye</t>
  </si>
  <si>
    <t xml:space="preserve">Budapest Főváros XIV. kerület Zugló Önkormányzatánk egyéb államháztartáson                                                   </t>
  </si>
  <si>
    <t>(a bevételek: 21/1/A-21/34/A, a kiadások 21/1/B-21/34/B)</t>
  </si>
  <si>
    <t>Társasházak és szövetkezeti házak felújítási támogatása vissza nem térítendő támogatása  - kötvényes</t>
  </si>
  <si>
    <t>Társasházak és szövetkezeti házak felújítási támogatása vissza nem térítendő támogatása  - nem kötvényes</t>
  </si>
  <si>
    <t>Zuglói Városgazdálkodási és Közszolgáltató Zrt. által ellátott feladatokhoz kapcsolódó működési támogatás (helységgazdálkodás, városüzemeltetés, közfoglalkoztatás)</t>
  </si>
  <si>
    <t>Kőbányai Önkormányzat-Gyermekek átmeneti otthona-ellátási szerződés keretében</t>
  </si>
  <si>
    <t>Klebersberg Intézményfenntartó Központ XIV. Tankerülete - iskolai támogatások</t>
  </si>
  <si>
    <t>Budapest Főváros Önkormányzat - szennyvízcsatorna fejlesztése</t>
  </si>
  <si>
    <t>Budapest Főváros XIV. kerület Zugló Önkormányzatának államháztartáson                                                   kívülről kapott támogatásai</t>
  </si>
  <si>
    <t>TÁMOP-5.6.1.C-11/1  Egy jó szó Zuglóban -  Zugló Önkormányzata és a Zuglói Polgárőrség áldozatvédelmi programhoz kapcsolódó támogatás bevétele</t>
  </si>
  <si>
    <t>ÁROP-3.A.2-2013-2013-0043 Zugló Önkormányzat komplex szervezetfejlesztése program támogatási bevétele</t>
  </si>
  <si>
    <t>KMOP-4.6.1-11-2012-0027 Zöld Lurkók Óvoda fejlesztése új épületrész kialakításával Zuglóban  projekt támogatási bevétele</t>
  </si>
  <si>
    <t>Széchenyi István Általános Iskola kerítésének felújítására kapott támogatás és annak felhasználása</t>
  </si>
  <si>
    <t xml:space="preserve">      - rendszeres gyermekvédelmi kedveznéyben részesülők  </t>
  </si>
  <si>
    <t xml:space="preserve">közvetett támogatásai </t>
  </si>
  <si>
    <t>6-15.</t>
  </si>
  <si>
    <t>16-30.</t>
  </si>
  <si>
    <t>84.</t>
  </si>
  <si>
    <t>86.</t>
  </si>
  <si>
    <t>103-106.</t>
  </si>
  <si>
    <t>111-112.</t>
  </si>
  <si>
    <t>114-116.</t>
  </si>
  <si>
    <t>117-120.</t>
  </si>
  <si>
    <t>121.</t>
  </si>
  <si>
    <t>122.</t>
  </si>
  <si>
    <t>123.</t>
  </si>
  <si>
    <t>124.</t>
  </si>
  <si>
    <t>125.</t>
  </si>
  <si>
    <t>Budapest Főváros XIV. kerület Zugló Önkormányzatának egyéb                                                                        államháztartáson belülről kapott támogatásai</t>
  </si>
  <si>
    <t>126-153.</t>
  </si>
  <si>
    <t>154-221.</t>
  </si>
  <si>
    <t>222.</t>
  </si>
  <si>
    <t>223-224.</t>
  </si>
  <si>
    <t>Nem önkormányzati tulajdonában álló ingatlanok tulajdonjogának megvásárlása</t>
  </si>
  <si>
    <t>114.</t>
  </si>
  <si>
    <t>115.</t>
  </si>
  <si>
    <t>4. melléklet a 13/2015. (III. 06.) önkormányzati rendelethez</t>
  </si>
  <si>
    <t>13. melléklet a 13/2015. (III. 06.) önkormányzati rendelethez</t>
  </si>
  <si>
    <t>9. melléklet a 13/2015. (III. 06.) önkormányzati rendelethez</t>
  </si>
  <si>
    <t>10. melléklet a 13/2015. (III. 06.) önkormányzati rendelethez</t>
  </si>
  <si>
    <t>18. melléklet a 13/2015. (III. 06.) önkormányzati rendelethez</t>
  </si>
  <si>
    <t>19. melléklet a 13/2015. (III. 06.) önkormányzati rendelethez</t>
  </si>
  <si>
    <t>8. melléklet a 13/2015. (III. 06.) önkormányzati rendelethez</t>
  </si>
  <si>
    <t>7. melléklet a 13/2015. (III. 06.) önkormányzati rendelethez</t>
  </si>
  <si>
    <t>6. melléklet a 13/2015. (III. 06.) önkormányzati rendelethez</t>
  </si>
  <si>
    <t>5. melléklet a 13/2015. (III. 06.) önkormányzati rendelethez</t>
  </si>
  <si>
    <t>17. melléklet a 13/2015. (III. 06.) önkormányzati rendelethez</t>
  </si>
  <si>
    <t>23. melléklet a 13/2015. (III. 06.) önkormányzati rendelethez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</si>
</sst>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#,##0.000"/>
    <numFmt numFmtId="167" formatCode="_-* #,##0\ _F_t_-;\-* #,##0\ _F_t_-;_-* &quot;-&quot;??\ _F_t_-;_-@_-"/>
    <numFmt numFmtId="168" formatCode="_-* #,##0\ &quot;Ft&quot;_-;\-* #,##0\ &quot;Ft&quot;_-;_-* &quot;-&quot;??\ &quot;Ft&quot;_-;_-@_-"/>
    <numFmt numFmtId="169" formatCode="#,##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_-* #,##0.0\ _F_t_-;\-* #,##0.0\ _F_t_-;_-* &quot;-&quot;??\ _F_t_-;_-@_-"/>
    <numFmt numFmtId="174" formatCode="0_ ;\-0\ "/>
    <numFmt numFmtId="175" formatCode="#,##0_ ;\-#,##0\ "/>
    <numFmt numFmtId="176" formatCode="#,##0_ ;[Red]\-#,##0\ "/>
    <numFmt numFmtId="177" formatCode="0_ ;[Red]\-0\ "/>
    <numFmt numFmtId="178" formatCode="_-* #,##0.0\ &quot;Ft&quot;_-;\-* #,##0.0\ &quot;Ft&quot;_-;_-* &quot;-&quot;??\ &quot;Ft&quot;_-;_-@_-"/>
    <numFmt numFmtId="179" formatCode="#,##0.0\ _F_t;[Red]\-#,##0.0\ _F_t"/>
    <numFmt numFmtId="180" formatCode="#,##0\ [$€-1]"/>
    <numFmt numFmtId="181" formatCode="#,##0.0\ &quot;Ft&quot;;[Red]\-#,##0.0\ &quot;Ft&quot;"/>
    <numFmt numFmtId="182" formatCode="#,##0.0_ ;\-#,##0.0\ "/>
    <numFmt numFmtId="183" formatCode="[$-40E]yyyy\.\ mmmm\ d\."/>
    <numFmt numFmtId="184" formatCode="#,##0.0000"/>
    <numFmt numFmtId="185" formatCode="#,##0.00\ &quot;Ft&quot;"/>
  </numFmts>
  <fonts count="167">
    <font>
      <sz val="10"/>
      <name val="Times New Roman CE"/>
      <family val="0"/>
    </font>
    <font>
      <b/>
      <sz val="12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MS Sans Serif"/>
      <family val="2"/>
    </font>
    <font>
      <sz val="10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10"/>
      <name val="MS Sans Serif"/>
      <family val="2"/>
    </font>
    <font>
      <b/>
      <sz val="13.5"/>
      <color indexed="10"/>
      <name val="MS Sans Serif"/>
      <family val="2"/>
    </font>
    <font>
      <b/>
      <sz val="12"/>
      <color indexed="10"/>
      <name val="MS Sans Serif"/>
      <family val="2"/>
    </font>
    <font>
      <sz val="12"/>
      <color indexed="10"/>
      <name val="Times New Roman CE"/>
      <family val="1"/>
    </font>
    <font>
      <sz val="12"/>
      <color indexed="10"/>
      <name val="MS Sans Serif"/>
      <family val="2"/>
    </font>
    <font>
      <b/>
      <sz val="12"/>
      <color indexed="10"/>
      <name val="Times New Roman CE"/>
      <family val="1"/>
    </font>
    <font>
      <b/>
      <sz val="10"/>
      <color indexed="10"/>
      <name val="Times New Roman CE"/>
      <family val="1"/>
    </font>
    <font>
      <b/>
      <sz val="10"/>
      <name val="Times New Roman CE"/>
      <family val="1"/>
    </font>
    <font>
      <b/>
      <sz val="10"/>
      <name val="MS Sans Serif"/>
      <family val="2"/>
    </font>
    <font>
      <b/>
      <sz val="10"/>
      <name val="Arial"/>
      <family val="2"/>
    </font>
    <font>
      <sz val="12"/>
      <name val="Times New Roman CE"/>
      <family val="1"/>
    </font>
    <font>
      <b/>
      <sz val="22"/>
      <name val="Times New Roman CE"/>
      <family val="1"/>
    </font>
    <font>
      <b/>
      <sz val="14"/>
      <name val="Times New Roman CE"/>
      <family val="1"/>
    </font>
    <font>
      <b/>
      <sz val="14"/>
      <name val="Times New Roman"/>
      <family val="1"/>
    </font>
    <font>
      <b/>
      <sz val="18"/>
      <name val="Times New Roman CE"/>
      <family val="1"/>
    </font>
    <font>
      <sz val="18"/>
      <name val="Times New Roman CE"/>
      <family val="1"/>
    </font>
    <font>
      <b/>
      <i/>
      <sz val="18"/>
      <name val="MS Sans Serif"/>
      <family val="2"/>
    </font>
    <font>
      <b/>
      <sz val="26"/>
      <name val="MS Sans Serif"/>
      <family val="2"/>
    </font>
    <font>
      <b/>
      <sz val="13.5"/>
      <name val="MS Sans Serif"/>
      <family val="2"/>
    </font>
    <font>
      <b/>
      <u val="single"/>
      <sz val="16"/>
      <name val="Times New Roman CE"/>
      <family val="1"/>
    </font>
    <font>
      <sz val="14"/>
      <name val="Times New Roman CE"/>
      <family val="1"/>
    </font>
    <font>
      <b/>
      <sz val="14"/>
      <name val="MS Sans Serif"/>
      <family val="2"/>
    </font>
    <font>
      <sz val="14"/>
      <name val="MS Sans Serif"/>
      <family val="2"/>
    </font>
    <font>
      <b/>
      <u val="double"/>
      <sz val="18"/>
      <name val="Times New Roman CE"/>
      <family val="1"/>
    </font>
    <font>
      <b/>
      <sz val="18"/>
      <name val="MS Sans Serif"/>
      <family val="2"/>
    </font>
    <font>
      <b/>
      <sz val="12"/>
      <name val="MS Sans Serif"/>
      <family val="2"/>
    </font>
    <font>
      <b/>
      <sz val="26"/>
      <name val="Times New Roman CE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Accounting"/>
      <sz val="13.5"/>
      <name val="MS Sans Serif"/>
      <family val="2"/>
    </font>
    <font>
      <u val="single"/>
      <sz val="12"/>
      <name val="Times New Roman CE"/>
      <family val="1"/>
    </font>
    <font>
      <u val="single"/>
      <sz val="18"/>
      <name val="Times New Roman CE"/>
      <family val="1"/>
    </font>
    <font>
      <b/>
      <sz val="12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i/>
      <sz val="10"/>
      <color indexed="10"/>
      <name val="Arial CE"/>
      <family val="2"/>
    </font>
    <font>
      <b/>
      <sz val="14"/>
      <color indexed="10"/>
      <name val="Arial CE"/>
      <family val="2"/>
    </font>
    <font>
      <b/>
      <sz val="12"/>
      <color indexed="10"/>
      <name val="Arial"/>
      <family val="2"/>
    </font>
    <font>
      <sz val="8"/>
      <name val="Times New Roman CE"/>
      <family val="0"/>
    </font>
    <font>
      <b/>
      <i/>
      <sz val="12"/>
      <name val="Times New Roman CE"/>
      <family val="1"/>
    </font>
    <font>
      <b/>
      <sz val="9"/>
      <name val="Times New Roman CE"/>
      <family val="0"/>
    </font>
    <font>
      <b/>
      <sz val="20"/>
      <name val="MS Sans Serif"/>
      <family val="2"/>
    </font>
    <font>
      <sz val="20"/>
      <name val="MS Sans Serif"/>
      <family val="2"/>
    </font>
    <font>
      <b/>
      <sz val="24"/>
      <name val="MS Sans Serif"/>
      <family val="2"/>
    </font>
    <font>
      <u val="single"/>
      <sz val="14"/>
      <name val="Times New Roman CE"/>
      <family val="1"/>
    </font>
    <font>
      <b/>
      <sz val="16"/>
      <color indexed="8"/>
      <name val="Calibri"/>
      <family val="2"/>
    </font>
    <font>
      <b/>
      <sz val="22"/>
      <name val="Arial CE"/>
      <family val="0"/>
    </font>
    <font>
      <b/>
      <u val="single"/>
      <sz val="12"/>
      <name val="Times New Roman CE"/>
      <family val="1"/>
    </font>
    <font>
      <i/>
      <sz val="12"/>
      <name val="Times New Roman CE"/>
      <family val="0"/>
    </font>
    <font>
      <b/>
      <sz val="10"/>
      <name val="Times New Roman"/>
      <family val="1"/>
    </font>
    <font>
      <b/>
      <i/>
      <sz val="12"/>
      <name val="MS Sans Serif"/>
      <family val="2"/>
    </font>
    <font>
      <b/>
      <i/>
      <sz val="13.5"/>
      <name val="MS Sans Serif"/>
      <family val="2"/>
    </font>
    <font>
      <b/>
      <i/>
      <u val="single"/>
      <sz val="12"/>
      <name val="MS Sans Serif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i/>
      <sz val="10"/>
      <name val="MS Sans Serif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 CE"/>
      <family val="1"/>
    </font>
    <font>
      <b/>
      <i/>
      <sz val="9"/>
      <name val="Times New Roman CE"/>
      <family val="1"/>
    </font>
    <font>
      <b/>
      <sz val="20"/>
      <name val="Times New Roman CE"/>
      <family val="1"/>
    </font>
    <font>
      <b/>
      <sz val="24"/>
      <name val="Times New Roman CE"/>
      <family val="1"/>
    </font>
    <font>
      <b/>
      <sz val="14"/>
      <color indexed="8"/>
      <name val="Calibri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7.5"/>
      <name val="Times New Roman"/>
      <family val="1"/>
    </font>
    <font>
      <sz val="17.5"/>
      <name val="Times New Roman"/>
      <family val="1"/>
    </font>
    <font>
      <b/>
      <i/>
      <sz val="18"/>
      <name val="Times New Roman"/>
      <family val="1"/>
    </font>
    <font>
      <b/>
      <sz val="13.5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i/>
      <sz val="13.5"/>
      <name val="Times New Roman"/>
      <family val="1"/>
    </font>
    <font>
      <sz val="17.5"/>
      <name val="Times New Roman CE"/>
      <family val="0"/>
    </font>
    <font>
      <b/>
      <u val="single"/>
      <sz val="12"/>
      <name val="MS Sans Serif"/>
      <family val="2"/>
    </font>
    <font>
      <sz val="11"/>
      <name val="MS Sans Serif"/>
      <family val="2"/>
    </font>
    <font>
      <sz val="12"/>
      <name val="MS Sans Serif"/>
      <family val="2"/>
    </font>
    <font>
      <b/>
      <sz val="17.5"/>
      <name val="Times New Roman CE"/>
      <family val="0"/>
    </font>
    <font>
      <sz val="16"/>
      <name val="Times New Roman"/>
      <family val="1"/>
    </font>
    <font>
      <b/>
      <i/>
      <sz val="26"/>
      <name val="Heidelberg"/>
      <family val="2"/>
    </font>
    <font>
      <b/>
      <sz val="26"/>
      <name val="Heidelberg"/>
      <family val="2"/>
    </font>
    <font>
      <b/>
      <sz val="26"/>
      <name val="Times New Roman"/>
      <family val="1"/>
    </font>
    <font>
      <b/>
      <sz val="18"/>
      <name val="Heidelberg"/>
      <family val="2"/>
    </font>
    <font>
      <b/>
      <sz val="12"/>
      <name val="Heidelberg"/>
      <family val="2"/>
    </font>
    <font>
      <sz val="10"/>
      <name val="Heidelberg"/>
      <family val="2"/>
    </font>
    <font>
      <b/>
      <sz val="14"/>
      <name val="Heidelberg"/>
      <family val="2"/>
    </font>
    <font>
      <b/>
      <i/>
      <sz val="26"/>
      <name val="Times New Roman CE"/>
      <family val="1"/>
    </font>
    <font>
      <b/>
      <i/>
      <sz val="26"/>
      <name val="Times New Roman"/>
      <family val="1"/>
    </font>
    <font>
      <sz val="14"/>
      <name val="Times New Roman"/>
      <family val="1"/>
    </font>
    <font>
      <b/>
      <sz val="9"/>
      <name val="Cambria"/>
      <family val="1"/>
    </font>
    <font>
      <b/>
      <i/>
      <sz val="12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6"/>
      <name val="Times New Roman"/>
      <family val="1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b/>
      <sz val="10"/>
      <color indexed="10"/>
      <name val="MS Sans Serif"/>
      <family val="2"/>
    </font>
    <font>
      <b/>
      <sz val="10"/>
      <color indexed="10"/>
      <name val="Times New Roman"/>
      <family val="1"/>
    </font>
    <font>
      <b/>
      <i/>
      <sz val="18"/>
      <color indexed="10"/>
      <name val="MS Sans Serif"/>
      <family val="2"/>
    </font>
    <font>
      <b/>
      <i/>
      <sz val="12"/>
      <color indexed="10"/>
      <name val="MS Sans Serif"/>
      <family val="2"/>
    </font>
    <font>
      <b/>
      <i/>
      <sz val="13.5"/>
      <color indexed="10"/>
      <name val="MS Sans Serif"/>
      <family val="2"/>
    </font>
    <font>
      <sz val="10"/>
      <color indexed="10"/>
      <name val="Times New Roman CE"/>
      <family val="0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MS Sans Serif"/>
      <family val="2"/>
    </font>
    <font>
      <sz val="10"/>
      <color rgb="FFFF0000"/>
      <name val="MS Sans Serif"/>
      <family val="2"/>
    </font>
    <font>
      <b/>
      <sz val="10"/>
      <color rgb="FFFF0000"/>
      <name val="Times New Roman"/>
      <family val="1"/>
    </font>
    <font>
      <b/>
      <i/>
      <sz val="18"/>
      <color rgb="FFFF0000"/>
      <name val="MS Sans Serif"/>
      <family val="2"/>
    </font>
    <font>
      <b/>
      <sz val="12"/>
      <color rgb="FFFF0000"/>
      <name val="MS Sans Serif"/>
      <family val="2"/>
    </font>
    <font>
      <b/>
      <sz val="13.5"/>
      <color rgb="FFFF0000"/>
      <name val="MS Sans Serif"/>
      <family val="2"/>
    </font>
    <font>
      <b/>
      <i/>
      <sz val="12"/>
      <color rgb="FFFF0000"/>
      <name val="MS Sans Serif"/>
      <family val="2"/>
    </font>
    <font>
      <b/>
      <i/>
      <sz val="13.5"/>
      <color rgb="FFFF0000"/>
      <name val="MS Sans Serif"/>
      <family val="2"/>
    </font>
    <font>
      <b/>
      <sz val="10"/>
      <color rgb="FFFF0000"/>
      <name val="Times New Roman CE"/>
      <family val="1"/>
    </font>
    <font>
      <sz val="10"/>
      <color rgb="FFFF0000"/>
      <name val="Times New Roman CE"/>
      <family val="0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9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8" borderId="0" applyNumberFormat="0" applyBorder="0" applyAlignment="0" applyProtection="0"/>
    <xf numFmtId="0" fontId="42" fillId="21" borderId="0" applyNumberFormat="0" applyBorder="0" applyAlignment="0" applyProtection="0"/>
    <xf numFmtId="0" fontId="42" fillId="9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7" fillId="26" borderId="0" applyNumberFormat="0" applyBorder="0" applyAlignment="0" applyProtection="0"/>
    <xf numFmtId="0" fontId="137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8" borderId="0" applyNumberFormat="0" applyBorder="0" applyAlignment="0" applyProtection="0"/>
    <xf numFmtId="0" fontId="43" fillId="28" borderId="0" applyNumberFormat="0" applyBorder="0" applyAlignment="0" applyProtection="0"/>
    <xf numFmtId="0" fontId="43" fillId="9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28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138" fillId="34" borderId="1" applyNumberFormat="0" applyAlignment="0" applyProtection="0"/>
    <xf numFmtId="0" fontId="45" fillId="8" borderId="2" applyNumberFormat="0" applyAlignment="0" applyProtection="0"/>
    <xf numFmtId="0" fontId="46" fillId="35" borderId="3" applyNumberFormat="0" applyAlignment="0" applyProtection="0"/>
    <xf numFmtId="0" fontId="139" fillId="0" borderId="0" applyNumberFormat="0" applyFill="0" applyBorder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2" fillId="0" borderId="6" applyNumberFormat="0" applyFill="0" applyAlignment="0" applyProtection="0"/>
    <xf numFmtId="0" fontId="142" fillId="0" borderId="0" applyNumberFormat="0" applyFill="0" applyBorder="0" applyAlignment="0" applyProtection="0"/>
    <xf numFmtId="0" fontId="143" fillId="36" borderId="7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11" applyNumberFormat="0" applyFill="0" applyAlignment="0" applyProtection="0"/>
    <xf numFmtId="0" fontId="52" fillId="9" borderId="2" applyNumberFormat="0" applyAlignment="0" applyProtection="0"/>
    <xf numFmtId="0" fontId="0" fillId="38" borderId="12" applyNumberFormat="0" applyFont="0" applyAlignment="0" applyProtection="0"/>
    <xf numFmtId="0" fontId="137" fillId="39" borderId="0" applyNumberFormat="0" applyBorder="0" applyAlignment="0" applyProtection="0"/>
    <xf numFmtId="0" fontId="137" fillId="40" borderId="0" applyNumberFormat="0" applyBorder="0" applyAlignment="0" applyProtection="0"/>
    <xf numFmtId="0" fontId="137" fillId="41" borderId="0" applyNumberFormat="0" applyBorder="0" applyAlignment="0" applyProtection="0"/>
    <xf numFmtId="0" fontId="137" fillId="42" borderId="0" applyNumberFormat="0" applyBorder="0" applyAlignment="0" applyProtection="0"/>
    <xf numFmtId="0" fontId="137" fillId="43" borderId="0" applyNumberFormat="0" applyBorder="0" applyAlignment="0" applyProtection="0"/>
    <xf numFmtId="0" fontId="137" fillId="44" borderId="0" applyNumberFormat="0" applyBorder="0" applyAlignment="0" applyProtection="0"/>
    <xf numFmtId="0" fontId="146" fillId="45" borderId="0" applyNumberFormat="0" applyBorder="0" applyAlignment="0" applyProtection="0"/>
    <xf numFmtId="0" fontId="147" fillId="46" borderId="13" applyNumberFormat="0" applyAlignment="0" applyProtection="0"/>
    <xf numFmtId="0" fontId="3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148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2" fillId="10" borderId="15" applyNumberFormat="0" applyFont="0" applyAlignment="0" applyProtection="0"/>
    <xf numFmtId="0" fontId="55" fillId="8" borderId="16" applyNumberFormat="0" applyAlignment="0" applyProtection="0"/>
    <xf numFmtId="0" fontId="14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0" fillId="47" borderId="0" applyNumberFormat="0" applyBorder="0" applyAlignment="0" applyProtection="0"/>
    <xf numFmtId="0" fontId="151" fillId="48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152" fillId="4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</cellStyleXfs>
  <cellXfs count="1416">
    <xf numFmtId="0" fontId="0" fillId="0" borderId="0" xfId="0" applyAlignment="1">
      <alignment/>
    </xf>
    <xf numFmtId="3" fontId="10" fillId="0" borderId="0" xfId="608" applyNumberFormat="1" applyFont="1">
      <alignment/>
      <protection/>
    </xf>
    <xf numFmtId="3" fontId="14" fillId="0" borderId="0" xfId="608" applyNumberFormat="1" applyFont="1">
      <alignment/>
      <protection/>
    </xf>
    <xf numFmtId="3" fontId="12" fillId="0" borderId="0" xfId="608" applyNumberFormat="1" applyFont="1">
      <alignment/>
      <protection/>
    </xf>
    <xf numFmtId="3" fontId="11" fillId="0" borderId="0" xfId="608" applyNumberFormat="1" applyFont="1">
      <alignment/>
      <protection/>
    </xf>
    <xf numFmtId="3" fontId="10" fillId="0" borderId="0" xfId="608" applyNumberFormat="1" applyFont="1" applyBorder="1">
      <alignment/>
      <protection/>
    </xf>
    <xf numFmtId="3" fontId="10" fillId="0" borderId="19" xfId="608" applyNumberFormat="1" applyFont="1" applyBorder="1">
      <alignment/>
      <protection/>
    </xf>
    <xf numFmtId="3" fontId="10" fillId="0" borderId="0" xfId="608" applyNumberFormat="1" applyFont="1" applyFill="1">
      <alignment/>
      <protection/>
    </xf>
    <xf numFmtId="3" fontId="14" fillId="0" borderId="19" xfId="608" applyNumberFormat="1" applyFont="1" applyBorder="1">
      <alignment/>
      <protection/>
    </xf>
    <xf numFmtId="3" fontId="14" fillId="0" borderId="0" xfId="608" applyNumberFormat="1" applyFont="1" applyFill="1">
      <alignment/>
      <protection/>
    </xf>
    <xf numFmtId="3" fontId="12" fillId="0" borderId="19" xfId="608" applyNumberFormat="1" applyFont="1" applyBorder="1">
      <alignment/>
      <protection/>
    </xf>
    <xf numFmtId="3" fontId="12" fillId="0" borderId="0" xfId="608" applyNumberFormat="1" applyFont="1" applyFill="1">
      <alignment/>
      <protection/>
    </xf>
    <xf numFmtId="3" fontId="11" fillId="0" borderId="19" xfId="608" applyNumberFormat="1" applyFont="1" applyBorder="1">
      <alignment/>
      <protection/>
    </xf>
    <xf numFmtId="3" fontId="11" fillId="0" borderId="0" xfId="608" applyNumberFormat="1" applyFont="1" applyFill="1">
      <alignment/>
      <protection/>
    </xf>
    <xf numFmtId="3" fontId="15" fillId="0" borderId="0" xfId="608" applyNumberFormat="1" applyFont="1" applyFill="1" applyAlignment="1">
      <alignment horizontal="center"/>
      <protection/>
    </xf>
    <xf numFmtId="3" fontId="14" fillId="0" borderId="0" xfId="608" applyNumberFormat="1" applyFont="1" applyBorder="1">
      <alignment/>
      <protection/>
    </xf>
    <xf numFmtId="3" fontId="12" fillId="0" borderId="0" xfId="608" applyNumberFormat="1" applyFont="1" applyBorder="1">
      <alignment/>
      <protection/>
    </xf>
    <xf numFmtId="3" fontId="11" fillId="0" borderId="0" xfId="608" applyNumberFormat="1" applyFont="1" applyBorder="1">
      <alignment/>
      <protection/>
    </xf>
    <xf numFmtId="3" fontId="18" fillId="0" borderId="0" xfId="608" applyNumberFormat="1" applyFont="1" applyBorder="1" applyAlignment="1">
      <alignment vertical="center" wrapText="1"/>
      <protection/>
    </xf>
    <xf numFmtId="3" fontId="1" fillId="0" borderId="0" xfId="608" applyNumberFormat="1" applyFont="1" applyFill="1" applyBorder="1" applyAlignment="1">
      <alignment horizontal="center"/>
      <protection/>
    </xf>
    <xf numFmtId="3" fontId="4" fillId="0" borderId="0" xfId="608" applyNumberFormat="1" applyFont="1" applyBorder="1">
      <alignment/>
      <protection/>
    </xf>
    <xf numFmtId="3" fontId="4" fillId="0" borderId="0" xfId="608" applyNumberFormat="1" applyFont="1" applyFill="1" applyBorder="1">
      <alignment/>
      <protection/>
    </xf>
    <xf numFmtId="3" fontId="26" fillId="0" borderId="0" xfId="608" applyNumberFormat="1" applyFont="1" applyAlignment="1">
      <alignment horizontal="centerContinuous"/>
      <protection/>
    </xf>
    <xf numFmtId="3" fontId="26" fillId="0" borderId="0" xfId="608" applyNumberFormat="1" applyFont="1" applyBorder="1" applyAlignment="1">
      <alignment horizontal="centerContinuous"/>
      <protection/>
    </xf>
    <xf numFmtId="3" fontId="26" fillId="0" borderId="0" xfId="608" applyNumberFormat="1" applyFont="1" applyFill="1">
      <alignment/>
      <protection/>
    </xf>
    <xf numFmtId="3" fontId="27" fillId="0" borderId="0" xfId="608" applyNumberFormat="1" applyFont="1" applyBorder="1" applyAlignment="1">
      <alignment horizontal="centerContinuous"/>
      <protection/>
    </xf>
    <xf numFmtId="3" fontId="27" fillId="0" borderId="0" xfId="608" applyNumberFormat="1" applyFont="1" applyFill="1" applyBorder="1">
      <alignment/>
      <protection/>
    </xf>
    <xf numFmtId="3" fontId="4" fillId="0" borderId="0" xfId="608" applyNumberFormat="1" applyFont="1" applyBorder="1" applyAlignment="1">
      <alignment horizontal="centerContinuous"/>
      <protection/>
    </xf>
    <xf numFmtId="3" fontId="1" fillId="0" borderId="20" xfId="608" applyNumberFormat="1" applyFont="1" applyFill="1" applyBorder="1" applyAlignment="1">
      <alignment horizontal="center" vertical="center"/>
      <protection/>
    </xf>
    <xf numFmtId="3" fontId="1" fillId="0" borderId="20" xfId="608" applyNumberFormat="1" applyFont="1" applyBorder="1" applyAlignment="1">
      <alignment horizontal="center" vertical="center"/>
      <protection/>
    </xf>
    <xf numFmtId="3" fontId="1" fillId="0" borderId="21" xfId="608" applyNumberFormat="1" applyFont="1" applyBorder="1" applyAlignment="1">
      <alignment horizontal="center" vertical="center"/>
      <protection/>
    </xf>
    <xf numFmtId="3" fontId="1" fillId="0" borderId="22" xfId="608" applyNumberFormat="1" applyFont="1" applyBorder="1" applyAlignment="1">
      <alignment horizontal="center" vertical="center"/>
      <protection/>
    </xf>
    <xf numFmtId="3" fontId="1" fillId="0" borderId="23" xfId="608" applyNumberFormat="1" applyFont="1" applyBorder="1" applyAlignment="1">
      <alignment horizontal="center" vertical="center"/>
      <protection/>
    </xf>
    <xf numFmtId="3" fontId="1" fillId="0" borderId="24" xfId="608" applyNumberFormat="1" applyFont="1" applyBorder="1" applyAlignment="1">
      <alignment horizontal="center" vertical="center"/>
      <protection/>
    </xf>
    <xf numFmtId="3" fontId="1" fillId="0" borderId="0" xfId="608" applyNumberFormat="1" applyFont="1" applyFill="1" applyBorder="1" applyAlignment="1">
      <alignment horizontal="center" vertical="center"/>
      <protection/>
    </xf>
    <xf numFmtId="3" fontId="1" fillId="0" borderId="25" xfId="608" applyNumberFormat="1" applyFont="1" applyFill="1" applyBorder="1" applyAlignment="1">
      <alignment horizontal="center"/>
      <protection/>
    </xf>
    <xf numFmtId="3" fontId="22" fillId="0" borderId="26" xfId="608" applyNumberFormat="1" applyFont="1" applyFill="1" applyBorder="1" applyAlignment="1">
      <alignment horizontal="right"/>
      <protection/>
    </xf>
    <xf numFmtId="3" fontId="22" fillId="0" borderId="27" xfId="608" applyNumberFormat="1" applyFont="1" applyBorder="1">
      <alignment/>
      <protection/>
    </xf>
    <xf numFmtId="3" fontId="22" fillId="0" borderId="28" xfId="608" applyNumberFormat="1" applyFont="1" applyBorder="1">
      <alignment/>
      <protection/>
    </xf>
    <xf numFmtId="3" fontId="22" fillId="0" borderId="29" xfId="608" applyNumberFormat="1" applyFont="1" applyBorder="1">
      <alignment/>
      <protection/>
    </xf>
    <xf numFmtId="3" fontId="22" fillId="0" borderId="30" xfId="608" applyNumberFormat="1" applyFont="1" applyBorder="1">
      <alignment/>
      <protection/>
    </xf>
    <xf numFmtId="3" fontId="22" fillId="0" borderId="31" xfId="608" applyNumberFormat="1" applyFont="1" applyBorder="1">
      <alignment/>
      <protection/>
    </xf>
    <xf numFmtId="3" fontId="22" fillId="0" borderId="32" xfId="608" applyNumberFormat="1" applyFont="1" applyBorder="1">
      <alignment/>
      <protection/>
    </xf>
    <xf numFmtId="3" fontId="22" fillId="0" borderId="33" xfId="608" applyNumberFormat="1" applyFont="1" applyBorder="1">
      <alignment/>
      <protection/>
    </xf>
    <xf numFmtId="3" fontId="22" fillId="0" borderId="34" xfId="608" applyNumberFormat="1" applyFont="1" applyBorder="1">
      <alignment/>
      <protection/>
    </xf>
    <xf numFmtId="3" fontId="22" fillId="0" borderId="35" xfId="608" applyNumberFormat="1" applyFont="1" applyBorder="1">
      <alignment/>
      <protection/>
    </xf>
    <xf numFmtId="3" fontId="22" fillId="0" borderId="36" xfId="608" applyNumberFormat="1" applyFont="1" applyBorder="1">
      <alignment/>
      <protection/>
    </xf>
    <xf numFmtId="3" fontId="22" fillId="0" borderId="0" xfId="608" applyNumberFormat="1" applyFont="1" applyFill="1" applyBorder="1">
      <alignment/>
      <protection/>
    </xf>
    <xf numFmtId="3" fontId="29" fillId="0" borderId="26" xfId="608" applyNumberFormat="1" applyFont="1" applyFill="1" applyBorder="1" applyAlignment="1">
      <alignment horizontal="left" wrapText="1" shrinkToFit="1"/>
      <protection/>
    </xf>
    <xf numFmtId="3" fontId="22" fillId="0" borderId="37" xfId="608" applyNumberFormat="1" applyFont="1" applyBorder="1">
      <alignment/>
      <protection/>
    </xf>
    <xf numFmtId="3" fontId="22" fillId="0" borderId="38" xfId="608" applyNumberFormat="1" applyFont="1" applyBorder="1">
      <alignment/>
      <protection/>
    </xf>
    <xf numFmtId="3" fontId="22" fillId="0" borderId="39" xfId="608" applyNumberFormat="1" applyFont="1" applyBorder="1">
      <alignment/>
      <protection/>
    </xf>
    <xf numFmtId="3" fontId="22" fillId="0" borderId="19" xfId="608" applyNumberFormat="1" applyFont="1" applyBorder="1">
      <alignment/>
      <protection/>
    </xf>
    <xf numFmtId="3" fontId="22" fillId="0" borderId="40" xfId="608" applyNumberFormat="1" applyFont="1" applyBorder="1">
      <alignment/>
      <protection/>
    </xf>
    <xf numFmtId="3" fontId="22" fillId="0" borderId="0" xfId="608" applyNumberFormat="1" applyFont="1" applyBorder="1">
      <alignment/>
      <protection/>
    </xf>
    <xf numFmtId="3" fontId="22" fillId="0" borderId="25" xfId="608" applyNumberFormat="1" applyFont="1" applyBorder="1">
      <alignment/>
      <protection/>
    </xf>
    <xf numFmtId="3" fontId="22" fillId="0" borderId="26" xfId="608" applyNumberFormat="1" applyFont="1" applyFill="1" applyBorder="1">
      <alignment/>
      <protection/>
    </xf>
    <xf numFmtId="3" fontId="1" fillId="0" borderId="26" xfId="608" applyNumberFormat="1" applyFont="1" applyFill="1" applyBorder="1">
      <alignment/>
      <protection/>
    </xf>
    <xf numFmtId="3" fontId="20" fillId="0" borderId="25" xfId="608" applyNumberFormat="1" applyFont="1" applyBorder="1">
      <alignment/>
      <protection/>
    </xf>
    <xf numFmtId="3" fontId="20" fillId="0" borderId="26" xfId="608" applyNumberFormat="1" applyFont="1" applyFill="1" applyBorder="1" applyAlignment="1">
      <alignment horizontal="right"/>
      <protection/>
    </xf>
    <xf numFmtId="3" fontId="1" fillId="0" borderId="28" xfId="608" applyNumberFormat="1" applyFont="1" applyBorder="1">
      <alignment/>
      <protection/>
    </xf>
    <xf numFmtId="3" fontId="20" fillId="0" borderId="37" xfId="608" applyNumberFormat="1" applyFont="1" applyBorder="1">
      <alignment/>
      <protection/>
    </xf>
    <xf numFmtId="3" fontId="20" fillId="0" borderId="38" xfId="608" applyNumberFormat="1" applyFont="1" applyBorder="1">
      <alignment/>
      <protection/>
    </xf>
    <xf numFmtId="3" fontId="20" fillId="0" borderId="39" xfId="608" applyNumberFormat="1" applyFont="1" applyBorder="1">
      <alignment/>
      <protection/>
    </xf>
    <xf numFmtId="3" fontId="20" fillId="0" borderId="19" xfId="608" applyNumberFormat="1" applyFont="1" applyBorder="1">
      <alignment/>
      <protection/>
    </xf>
    <xf numFmtId="3" fontId="20" fillId="0" borderId="40" xfId="608" applyNumberFormat="1" applyFont="1" applyBorder="1">
      <alignment/>
      <protection/>
    </xf>
    <xf numFmtId="3" fontId="20" fillId="0" borderId="0" xfId="608" applyNumberFormat="1" applyFont="1" applyBorder="1">
      <alignment/>
      <protection/>
    </xf>
    <xf numFmtId="3" fontId="1" fillId="0" borderId="25" xfId="608" applyNumberFormat="1" applyFont="1" applyBorder="1">
      <alignment/>
      <protection/>
    </xf>
    <xf numFmtId="3" fontId="1" fillId="0" borderId="0" xfId="608" applyNumberFormat="1" applyFont="1" applyFill="1" applyBorder="1">
      <alignment/>
      <protection/>
    </xf>
    <xf numFmtId="3" fontId="20" fillId="0" borderId="28" xfId="608" applyNumberFormat="1" applyFont="1" applyBorder="1">
      <alignment/>
      <protection/>
    </xf>
    <xf numFmtId="3" fontId="22" fillId="0" borderId="26" xfId="608" applyNumberFormat="1" applyFont="1" applyFill="1" applyBorder="1" applyAlignment="1">
      <alignment horizontal="right" wrapText="1" shrinkToFit="1"/>
      <protection/>
    </xf>
    <xf numFmtId="3" fontId="30" fillId="0" borderId="37" xfId="608" applyNumberFormat="1" applyFont="1" applyBorder="1">
      <alignment/>
      <protection/>
    </xf>
    <xf numFmtId="3" fontId="30" fillId="0" borderId="38" xfId="608" applyNumberFormat="1" applyFont="1" applyBorder="1">
      <alignment/>
      <protection/>
    </xf>
    <xf numFmtId="3" fontId="30" fillId="0" borderId="39" xfId="608" applyNumberFormat="1" applyFont="1" applyBorder="1">
      <alignment/>
      <protection/>
    </xf>
    <xf numFmtId="3" fontId="30" fillId="0" borderId="19" xfId="608" applyNumberFormat="1" applyFont="1" applyBorder="1">
      <alignment/>
      <protection/>
    </xf>
    <xf numFmtId="3" fontId="30" fillId="0" borderId="40" xfId="608" applyNumberFormat="1" applyFont="1" applyBorder="1">
      <alignment/>
      <protection/>
    </xf>
    <xf numFmtId="3" fontId="30" fillId="0" borderId="0" xfId="608" applyNumberFormat="1" applyFont="1" applyBorder="1">
      <alignment/>
      <protection/>
    </xf>
    <xf numFmtId="3" fontId="22" fillId="0" borderId="26" xfId="608" applyNumberFormat="1" applyFont="1" applyFill="1" applyBorder="1" applyAlignment="1">
      <alignment wrapText="1" shrinkToFit="1"/>
      <protection/>
    </xf>
    <xf numFmtId="3" fontId="31" fillId="0" borderId="28" xfId="608" applyNumberFormat="1" applyFont="1" applyBorder="1">
      <alignment/>
      <protection/>
    </xf>
    <xf numFmtId="3" fontId="32" fillId="0" borderId="37" xfId="608" applyNumberFormat="1" applyFont="1" applyBorder="1">
      <alignment/>
      <protection/>
    </xf>
    <xf numFmtId="3" fontId="32" fillId="0" borderId="19" xfId="608" applyNumberFormat="1" applyFont="1" applyBorder="1">
      <alignment/>
      <protection/>
    </xf>
    <xf numFmtId="3" fontId="32" fillId="0" borderId="38" xfId="608" applyNumberFormat="1" applyFont="1" applyBorder="1">
      <alignment/>
      <protection/>
    </xf>
    <xf numFmtId="3" fontId="32" fillId="0" borderId="39" xfId="608" applyNumberFormat="1" applyFont="1" applyBorder="1">
      <alignment/>
      <protection/>
    </xf>
    <xf numFmtId="3" fontId="32" fillId="0" borderId="40" xfId="608" applyNumberFormat="1" applyFont="1" applyBorder="1">
      <alignment/>
      <protection/>
    </xf>
    <xf numFmtId="3" fontId="32" fillId="0" borderId="0" xfId="608" applyNumberFormat="1" applyFont="1" applyBorder="1">
      <alignment/>
      <protection/>
    </xf>
    <xf numFmtId="3" fontId="31" fillId="0" borderId="0" xfId="608" applyNumberFormat="1" applyFont="1" applyFill="1" applyBorder="1">
      <alignment/>
      <protection/>
    </xf>
    <xf numFmtId="3" fontId="1" fillId="0" borderId="26" xfId="608" applyNumberFormat="1" applyFont="1" applyFill="1" applyBorder="1" applyAlignment="1">
      <alignment horizontal="left" wrapText="1" shrinkToFit="1"/>
      <protection/>
    </xf>
    <xf numFmtId="3" fontId="20" fillId="0" borderId="0" xfId="608" applyNumberFormat="1" applyFont="1" applyFill="1" applyBorder="1">
      <alignment/>
      <protection/>
    </xf>
    <xf numFmtId="3" fontId="24" fillId="0" borderId="26" xfId="608" applyNumberFormat="1" applyFont="1" applyFill="1" applyBorder="1" applyAlignment="1">
      <alignment horizontal="right" wrapText="1" shrinkToFit="1"/>
      <protection/>
    </xf>
    <xf numFmtId="3" fontId="24" fillId="0" borderId="28" xfId="608" applyNumberFormat="1" applyFont="1" applyBorder="1">
      <alignment/>
      <protection/>
    </xf>
    <xf numFmtId="3" fontId="24" fillId="0" borderId="37" xfId="608" applyNumberFormat="1" applyFont="1" applyBorder="1">
      <alignment/>
      <protection/>
    </xf>
    <xf numFmtId="3" fontId="24" fillId="0" borderId="19" xfId="608" applyNumberFormat="1" applyFont="1" applyBorder="1">
      <alignment/>
      <protection/>
    </xf>
    <xf numFmtId="3" fontId="24" fillId="0" borderId="40" xfId="608" applyNumberFormat="1" applyFont="1" applyBorder="1">
      <alignment/>
      <protection/>
    </xf>
    <xf numFmtId="3" fontId="24" fillId="0" borderId="39" xfId="608" applyNumberFormat="1" applyFont="1" applyBorder="1">
      <alignment/>
      <protection/>
    </xf>
    <xf numFmtId="3" fontId="24" fillId="0" borderId="0" xfId="608" applyNumberFormat="1" applyFont="1" applyBorder="1">
      <alignment/>
      <protection/>
    </xf>
    <xf numFmtId="3" fontId="24" fillId="0" borderId="25" xfId="608" applyNumberFormat="1" applyFont="1" applyBorder="1">
      <alignment/>
      <protection/>
    </xf>
    <xf numFmtId="3" fontId="24" fillId="0" borderId="0" xfId="608" applyNumberFormat="1" applyFont="1" applyFill="1" applyBorder="1">
      <alignment/>
      <protection/>
    </xf>
    <xf numFmtId="3" fontId="1" fillId="0" borderId="41" xfId="608" applyNumberFormat="1" applyFont="1" applyFill="1" applyBorder="1" applyAlignment="1">
      <alignment horizontal="center"/>
      <protection/>
    </xf>
    <xf numFmtId="3" fontId="22" fillId="0" borderId="42" xfId="608" applyNumberFormat="1" applyFont="1" applyFill="1" applyBorder="1" applyAlignment="1">
      <alignment horizontal="right"/>
      <protection/>
    </xf>
    <xf numFmtId="3" fontId="22" fillId="0" borderId="43" xfId="608" applyNumberFormat="1" applyFont="1" applyBorder="1">
      <alignment/>
      <protection/>
    </xf>
    <xf numFmtId="3" fontId="22" fillId="0" borderId="44" xfId="608" applyNumberFormat="1" applyFont="1" applyBorder="1">
      <alignment/>
      <protection/>
    </xf>
    <xf numFmtId="3" fontId="22" fillId="0" borderId="45" xfId="608" applyNumberFormat="1" applyFont="1" applyBorder="1">
      <alignment/>
      <protection/>
    </xf>
    <xf numFmtId="3" fontId="22" fillId="0" borderId="46" xfId="608" applyNumberFormat="1" applyFont="1" applyBorder="1">
      <alignment/>
      <protection/>
    </xf>
    <xf numFmtId="3" fontId="22" fillId="0" borderId="47" xfId="608" applyNumberFormat="1" applyFont="1" applyBorder="1">
      <alignment/>
      <protection/>
    </xf>
    <xf numFmtId="3" fontId="22" fillId="0" borderId="48" xfId="608" applyNumberFormat="1" applyFont="1" applyBorder="1">
      <alignment/>
      <protection/>
    </xf>
    <xf numFmtId="3" fontId="22" fillId="0" borderId="49" xfId="608" applyNumberFormat="1" applyFont="1" applyBorder="1">
      <alignment/>
      <protection/>
    </xf>
    <xf numFmtId="3" fontId="22" fillId="0" borderId="41" xfId="608" applyNumberFormat="1" applyFont="1" applyBorder="1">
      <alignment/>
      <protection/>
    </xf>
    <xf numFmtId="3" fontId="1" fillId="0" borderId="50" xfId="608" applyNumberFormat="1" applyFont="1" applyFill="1" applyBorder="1" applyAlignment="1">
      <alignment horizontal="center"/>
      <protection/>
    </xf>
    <xf numFmtId="3" fontId="33" fillId="0" borderId="26" xfId="608" applyNumberFormat="1" applyFont="1" applyFill="1" applyBorder="1">
      <alignment/>
      <protection/>
    </xf>
    <xf numFmtId="3" fontId="24" fillId="0" borderId="38" xfId="608" applyNumberFormat="1" applyFont="1" applyBorder="1">
      <alignment/>
      <protection/>
    </xf>
    <xf numFmtId="3" fontId="24" fillId="0" borderId="0" xfId="608" applyNumberFormat="1" applyFont="1" applyFill="1">
      <alignment/>
      <protection/>
    </xf>
    <xf numFmtId="3" fontId="29" fillId="0" borderId="26" xfId="608" applyNumberFormat="1" applyFont="1" applyFill="1" applyBorder="1">
      <alignment/>
      <protection/>
    </xf>
    <xf numFmtId="3" fontId="24" fillId="0" borderId="26" xfId="608" applyNumberFormat="1" applyFont="1" applyFill="1" applyBorder="1">
      <alignment/>
      <protection/>
    </xf>
    <xf numFmtId="3" fontId="25" fillId="0" borderId="26" xfId="608" applyNumberFormat="1" applyFont="1" applyFill="1" applyBorder="1" applyAlignment="1">
      <alignment horizontal="right"/>
      <protection/>
    </xf>
    <xf numFmtId="3" fontId="25" fillId="0" borderId="28" xfId="608" applyNumberFormat="1" applyFont="1" applyBorder="1">
      <alignment/>
      <protection/>
    </xf>
    <xf numFmtId="3" fontId="25" fillId="0" borderId="37" xfId="608" applyNumberFormat="1" applyFont="1" applyBorder="1">
      <alignment/>
      <protection/>
    </xf>
    <xf numFmtId="3" fontId="25" fillId="0" borderId="19" xfId="608" applyNumberFormat="1" applyFont="1" applyBorder="1">
      <alignment/>
      <protection/>
    </xf>
    <xf numFmtId="3" fontId="25" fillId="0" borderId="38" xfId="608" applyNumberFormat="1" applyFont="1" applyBorder="1">
      <alignment/>
      <protection/>
    </xf>
    <xf numFmtId="3" fontId="25" fillId="0" borderId="39" xfId="608" applyNumberFormat="1" applyFont="1" applyBorder="1">
      <alignment/>
      <protection/>
    </xf>
    <xf numFmtId="3" fontId="25" fillId="0" borderId="40" xfId="608" applyNumberFormat="1" applyFont="1" applyBorder="1">
      <alignment/>
      <protection/>
    </xf>
    <xf numFmtId="3" fontId="25" fillId="0" borderId="0" xfId="608" applyNumberFormat="1" applyFont="1" applyBorder="1">
      <alignment/>
      <protection/>
    </xf>
    <xf numFmtId="3" fontId="25" fillId="0" borderId="25" xfId="608" applyNumberFormat="1" applyFont="1" applyBorder="1">
      <alignment/>
      <protection/>
    </xf>
    <xf numFmtId="3" fontId="25" fillId="0" borderId="0" xfId="608" applyNumberFormat="1" applyFont="1" applyFill="1">
      <alignment/>
      <protection/>
    </xf>
    <xf numFmtId="3" fontId="24" fillId="0" borderId="26" xfId="608" applyNumberFormat="1" applyFont="1" applyFill="1" applyBorder="1" applyAlignment="1">
      <alignment horizontal="right"/>
      <protection/>
    </xf>
    <xf numFmtId="3" fontId="30" fillId="0" borderId="26" xfId="608" applyNumberFormat="1" applyFont="1" applyFill="1" applyBorder="1" applyAlignment="1">
      <alignment horizontal="right" wrapText="1" shrinkToFit="1"/>
      <protection/>
    </xf>
    <xf numFmtId="3" fontId="30" fillId="0" borderId="28" xfId="608" applyNumberFormat="1" applyFont="1" applyBorder="1">
      <alignment/>
      <protection/>
    </xf>
    <xf numFmtId="3" fontId="30" fillId="0" borderId="25" xfId="608" applyNumberFormat="1" applyFont="1" applyBorder="1">
      <alignment/>
      <protection/>
    </xf>
    <xf numFmtId="3" fontId="30" fillId="0" borderId="0" xfId="608" applyNumberFormat="1" applyFont="1" applyFill="1">
      <alignment/>
      <protection/>
    </xf>
    <xf numFmtId="3" fontId="22" fillId="0" borderId="26" xfId="608" applyNumberFormat="1" applyFont="1" applyFill="1" applyBorder="1" applyAlignment="1">
      <alignment horizontal="right" vertical="top"/>
      <protection/>
    </xf>
    <xf numFmtId="3" fontId="22" fillId="0" borderId="25" xfId="608" applyNumberFormat="1" applyFont="1" applyBorder="1" applyAlignment="1">
      <alignment/>
      <protection/>
    </xf>
    <xf numFmtId="3" fontId="18" fillId="0" borderId="28" xfId="608" applyNumberFormat="1" applyFont="1" applyBorder="1">
      <alignment/>
      <protection/>
    </xf>
    <xf numFmtId="3" fontId="18" fillId="0" borderId="37" xfId="608" applyNumberFormat="1" applyFont="1" applyBorder="1">
      <alignment/>
      <protection/>
    </xf>
    <xf numFmtId="3" fontId="18" fillId="0" borderId="19" xfId="608" applyNumberFormat="1" applyFont="1" applyBorder="1">
      <alignment/>
      <protection/>
    </xf>
    <xf numFmtId="3" fontId="18" fillId="0" borderId="38" xfId="608" applyNumberFormat="1" applyFont="1" applyBorder="1">
      <alignment/>
      <protection/>
    </xf>
    <xf numFmtId="3" fontId="18" fillId="0" borderId="39" xfId="608" applyNumberFormat="1" applyFont="1" applyBorder="1">
      <alignment/>
      <protection/>
    </xf>
    <xf numFmtId="3" fontId="18" fillId="0" borderId="40" xfId="608" applyNumberFormat="1" applyFont="1" applyBorder="1">
      <alignment/>
      <protection/>
    </xf>
    <xf numFmtId="3" fontId="18" fillId="0" borderId="0" xfId="608" applyNumberFormat="1" applyFont="1" applyBorder="1">
      <alignment/>
      <protection/>
    </xf>
    <xf numFmtId="3" fontId="18" fillId="0" borderId="0" xfId="608" applyNumberFormat="1" applyFont="1" applyFill="1" applyBorder="1">
      <alignment/>
      <protection/>
    </xf>
    <xf numFmtId="3" fontId="1" fillId="0" borderId="25" xfId="608" applyNumberFormat="1" applyFont="1" applyFill="1" applyBorder="1" applyAlignment="1">
      <alignment horizontal="center" vertical="center" wrapText="1"/>
      <protection/>
    </xf>
    <xf numFmtId="3" fontId="18" fillId="0" borderId="26" xfId="608" applyNumberFormat="1" applyFont="1" applyFill="1" applyBorder="1" applyAlignment="1">
      <alignment vertical="center" wrapText="1"/>
      <protection/>
    </xf>
    <xf numFmtId="3" fontId="22" fillId="0" borderId="28" xfId="608" applyNumberFormat="1" applyFont="1" applyBorder="1" applyAlignment="1">
      <alignment vertical="center" wrapText="1"/>
      <protection/>
    </xf>
    <xf numFmtId="3" fontId="22" fillId="0" borderId="37" xfId="608" applyNumberFormat="1" applyFont="1" applyBorder="1" applyAlignment="1">
      <alignment vertical="center" wrapText="1"/>
      <protection/>
    </xf>
    <xf numFmtId="3" fontId="22" fillId="0" borderId="19" xfId="608" applyNumberFormat="1" applyFont="1" applyBorder="1" applyAlignment="1">
      <alignment vertical="center" wrapText="1"/>
      <protection/>
    </xf>
    <xf numFmtId="3" fontId="22" fillId="0" borderId="38" xfId="608" applyNumberFormat="1" applyFont="1" applyBorder="1" applyAlignment="1">
      <alignment vertical="center" wrapText="1"/>
      <protection/>
    </xf>
    <xf numFmtId="3" fontId="22" fillId="0" borderId="39" xfId="608" applyNumberFormat="1" applyFont="1" applyBorder="1" applyAlignment="1">
      <alignment vertical="center" wrapText="1"/>
      <protection/>
    </xf>
    <xf numFmtId="3" fontId="22" fillId="0" borderId="40" xfId="608" applyNumberFormat="1" applyFont="1" applyBorder="1" applyAlignment="1">
      <alignment vertical="center" wrapText="1"/>
      <protection/>
    </xf>
    <xf numFmtId="3" fontId="22" fillId="0" borderId="0" xfId="608" applyNumberFormat="1" applyFont="1" applyBorder="1" applyAlignment="1">
      <alignment vertical="center" wrapText="1"/>
      <protection/>
    </xf>
    <xf numFmtId="3" fontId="18" fillId="0" borderId="0" xfId="608" applyNumberFormat="1" applyFont="1" applyFill="1" applyBorder="1" applyAlignment="1">
      <alignment vertical="center" wrapText="1"/>
      <protection/>
    </xf>
    <xf numFmtId="3" fontId="22" fillId="0" borderId="25" xfId="608" applyNumberFormat="1" applyFont="1" applyBorder="1" applyAlignment="1">
      <alignment vertical="center"/>
      <protection/>
    </xf>
    <xf numFmtId="3" fontId="18" fillId="0" borderId="28" xfId="608" applyNumberFormat="1" applyFont="1" applyBorder="1" applyAlignment="1">
      <alignment vertical="center" wrapText="1"/>
      <protection/>
    </xf>
    <xf numFmtId="3" fontId="18" fillId="0" borderId="37" xfId="608" applyNumberFormat="1" applyFont="1" applyBorder="1" applyAlignment="1">
      <alignment vertical="center" wrapText="1"/>
      <protection/>
    </xf>
    <xf numFmtId="3" fontId="18" fillId="0" borderId="38" xfId="608" applyNumberFormat="1" applyFont="1" applyBorder="1" applyAlignment="1">
      <alignment vertical="center" wrapText="1"/>
      <protection/>
    </xf>
    <xf numFmtId="3" fontId="18" fillId="0" borderId="39" xfId="608" applyNumberFormat="1" applyFont="1" applyBorder="1" applyAlignment="1">
      <alignment vertical="center" wrapText="1"/>
      <protection/>
    </xf>
    <xf numFmtId="3" fontId="18" fillId="0" borderId="19" xfId="608" applyNumberFormat="1" applyFont="1" applyBorder="1" applyAlignment="1">
      <alignment vertical="center" wrapText="1"/>
      <protection/>
    </xf>
    <xf numFmtId="3" fontId="18" fillId="0" borderId="40" xfId="608" applyNumberFormat="1" applyFont="1" applyBorder="1" applyAlignment="1">
      <alignment vertical="center" wrapText="1"/>
      <protection/>
    </xf>
    <xf numFmtId="3" fontId="18" fillId="0" borderId="25" xfId="608" applyNumberFormat="1" applyFont="1" applyBorder="1">
      <alignment/>
      <protection/>
    </xf>
    <xf numFmtId="3" fontId="1" fillId="0" borderId="41" xfId="608" applyNumberFormat="1" applyFont="1" applyFill="1" applyBorder="1" applyAlignment="1">
      <alignment horizontal="center" vertical="center" wrapText="1"/>
      <protection/>
    </xf>
    <xf numFmtId="3" fontId="22" fillId="0" borderId="26" xfId="608" applyNumberFormat="1" applyFont="1" applyFill="1" applyBorder="1" applyAlignment="1">
      <alignment horizontal="right" vertical="center" wrapText="1"/>
      <protection/>
    </xf>
    <xf numFmtId="3" fontId="22" fillId="0" borderId="0" xfId="608" applyNumberFormat="1" applyFont="1" applyFill="1" applyBorder="1" applyAlignment="1">
      <alignment vertical="center" wrapText="1"/>
      <protection/>
    </xf>
    <xf numFmtId="3" fontId="1" fillId="18" borderId="25" xfId="608" applyNumberFormat="1" applyFont="1" applyFill="1" applyBorder="1" applyAlignment="1">
      <alignment horizontal="center" vertical="center" wrapText="1"/>
      <protection/>
    </xf>
    <xf numFmtId="3" fontId="18" fillId="18" borderId="51" xfId="608" applyNumberFormat="1" applyFont="1" applyFill="1" applyBorder="1" applyAlignment="1">
      <alignment vertical="center" wrapText="1"/>
      <protection/>
    </xf>
    <xf numFmtId="3" fontId="18" fillId="18" borderId="52" xfId="608" applyNumberFormat="1" applyFont="1" applyFill="1" applyBorder="1" applyAlignment="1">
      <alignment vertical="center" wrapText="1"/>
      <protection/>
    </xf>
    <xf numFmtId="3" fontId="18" fillId="18" borderId="53" xfId="608" applyNumberFormat="1" applyFont="1" applyFill="1" applyBorder="1" applyAlignment="1">
      <alignment vertical="center" wrapText="1"/>
      <protection/>
    </xf>
    <xf numFmtId="3" fontId="18" fillId="18" borderId="54" xfId="608" applyNumberFormat="1" applyFont="1" applyFill="1" applyBorder="1" applyAlignment="1">
      <alignment vertical="center" wrapText="1"/>
      <protection/>
    </xf>
    <xf numFmtId="3" fontId="18" fillId="18" borderId="55" xfId="608" applyNumberFormat="1" applyFont="1" applyFill="1" applyBorder="1" applyAlignment="1">
      <alignment vertical="center" wrapText="1"/>
      <protection/>
    </xf>
    <xf numFmtId="3" fontId="18" fillId="18" borderId="56" xfId="608" applyNumberFormat="1" applyFont="1" applyFill="1" applyBorder="1" applyAlignment="1">
      <alignment vertical="center" wrapText="1"/>
      <protection/>
    </xf>
    <xf numFmtId="3" fontId="18" fillId="18" borderId="57" xfId="608" applyNumberFormat="1" applyFont="1" applyFill="1" applyBorder="1" applyAlignment="1">
      <alignment vertical="center" wrapText="1"/>
      <protection/>
    </xf>
    <xf numFmtId="3" fontId="18" fillId="18" borderId="58" xfId="608" applyNumberFormat="1" applyFont="1" applyFill="1" applyBorder="1" applyAlignment="1">
      <alignment vertical="center" wrapText="1"/>
      <protection/>
    </xf>
    <xf numFmtId="3" fontId="34" fillId="18" borderId="50" xfId="608" applyNumberFormat="1" applyFont="1" applyFill="1" applyBorder="1" applyAlignment="1">
      <alignment vertical="center"/>
      <protection/>
    </xf>
    <xf numFmtId="3" fontId="18" fillId="18" borderId="0" xfId="608" applyNumberFormat="1" applyFont="1" applyFill="1" applyBorder="1" applyAlignment="1">
      <alignment vertical="center" wrapText="1"/>
      <protection/>
    </xf>
    <xf numFmtId="3" fontId="1" fillId="18" borderId="25" xfId="608" applyNumberFormat="1" applyFont="1" applyFill="1" applyBorder="1" applyAlignment="1">
      <alignment horizontal="center"/>
      <protection/>
    </xf>
    <xf numFmtId="3" fontId="21" fillId="18" borderId="26" xfId="608" applyNumberFormat="1" applyFont="1" applyFill="1" applyBorder="1" applyAlignment="1">
      <alignment/>
      <protection/>
    </xf>
    <xf numFmtId="3" fontId="21" fillId="18" borderId="28" xfId="608" applyNumberFormat="1" applyFont="1" applyFill="1" applyBorder="1" applyAlignment="1">
      <alignment/>
      <protection/>
    </xf>
    <xf numFmtId="3" fontId="21" fillId="18" borderId="37" xfId="608" applyNumberFormat="1" applyFont="1" applyFill="1" applyBorder="1" applyAlignment="1">
      <alignment/>
      <protection/>
    </xf>
    <xf numFmtId="3" fontId="21" fillId="18" borderId="19" xfId="608" applyNumberFormat="1" applyFont="1" applyFill="1" applyBorder="1" applyAlignment="1">
      <alignment/>
      <protection/>
    </xf>
    <xf numFmtId="3" fontId="21" fillId="18" borderId="40" xfId="608" applyNumberFormat="1" applyFont="1" applyFill="1" applyBorder="1" applyAlignment="1">
      <alignment/>
      <protection/>
    </xf>
    <xf numFmtId="3" fontId="21" fillId="18" borderId="39" xfId="608" applyNumberFormat="1" applyFont="1" applyFill="1" applyBorder="1" applyAlignment="1">
      <alignment/>
      <protection/>
    </xf>
    <xf numFmtId="3" fontId="21" fillId="18" borderId="25" xfId="608" applyNumberFormat="1" applyFont="1" applyFill="1" applyBorder="1" applyAlignment="1">
      <alignment/>
      <protection/>
    </xf>
    <xf numFmtId="3" fontId="21" fillId="18" borderId="0" xfId="608" applyNumberFormat="1" applyFont="1" applyFill="1" applyBorder="1" applyAlignment="1">
      <alignment/>
      <protection/>
    </xf>
    <xf numFmtId="3" fontId="18" fillId="0" borderId="26" xfId="608" applyNumberFormat="1" applyFont="1" applyFill="1" applyBorder="1">
      <alignment/>
      <protection/>
    </xf>
    <xf numFmtId="3" fontId="22" fillId="0" borderId="26" xfId="608" applyNumberFormat="1" applyFont="1" applyBorder="1">
      <alignment/>
      <protection/>
    </xf>
    <xf numFmtId="3" fontId="18" fillId="0" borderId="0" xfId="608" applyNumberFormat="1" applyFont="1" applyFill="1">
      <alignment/>
      <protection/>
    </xf>
    <xf numFmtId="3" fontId="4" fillId="0" borderId="26" xfId="608" applyNumberFormat="1" applyFont="1" applyFill="1" applyBorder="1">
      <alignment/>
      <protection/>
    </xf>
    <xf numFmtId="3" fontId="4" fillId="0" borderId="28" xfId="608" applyNumberFormat="1" applyFont="1" applyBorder="1">
      <alignment/>
      <protection/>
    </xf>
    <xf numFmtId="3" fontId="4" fillId="0" borderId="37" xfId="608" applyNumberFormat="1" applyFont="1" applyBorder="1">
      <alignment/>
      <protection/>
    </xf>
    <xf numFmtId="3" fontId="4" fillId="0" borderId="38" xfId="608" applyNumberFormat="1" applyFont="1" applyBorder="1">
      <alignment/>
      <protection/>
    </xf>
    <xf numFmtId="3" fontId="4" fillId="0" borderId="25" xfId="608" applyNumberFormat="1" applyFont="1" applyBorder="1">
      <alignment/>
      <protection/>
    </xf>
    <xf numFmtId="3" fontId="4" fillId="0" borderId="19" xfId="608" applyNumberFormat="1" applyFont="1" applyBorder="1">
      <alignment/>
      <protection/>
    </xf>
    <xf numFmtId="3" fontId="4" fillId="0" borderId="40" xfId="608" applyNumberFormat="1" applyFont="1" applyBorder="1">
      <alignment/>
      <protection/>
    </xf>
    <xf numFmtId="3" fontId="4" fillId="0" borderId="39" xfId="608" applyNumberFormat="1" applyFont="1" applyBorder="1">
      <alignment/>
      <protection/>
    </xf>
    <xf numFmtId="3" fontId="4" fillId="0" borderId="26" xfId="608" applyNumberFormat="1" applyFont="1" applyBorder="1">
      <alignment/>
      <protection/>
    </xf>
    <xf numFmtId="3" fontId="4" fillId="0" borderId="0" xfId="608" applyNumberFormat="1" applyFont="1" applyFill="1">
      <alignment/>
      <protection/>
    </xf>
    <xf numFmtId="3" fontId="18" fillId="0" borderId="26" xfId="608" applyNumberFormat="1" applyFont="1" applyBorder="1">
      <alignment/>
      <protection/>
    </xf>
    <xf numFmtId="3" fontId="20" fillId="0" borderId="26" xfId="608" applyNumberFormat="1" applyFont="1" applyFill="1" applyBorder="1">
      <alignment/>
      <protection/>
    </xf>
    <xf numFmtId="3" fontId="17" fillId="0" borderId="0" xfId="608" applyNumberFormat="1" applyFont="1" applyFill="1" applyBorder="1">
      <alignment/>
      <protection/>
    </xf>
    <xf numFmtId="3" fontId="17" fillId="0" borderId="28" xfId="608" applyNumberFormat="1" applyFont="1" applyBorder="1">
      <alignment/>
      <protection/>
    </xf>
    <xf numFmtId="3" fontId="1" fillId="0" borderId="26" xfId="608" applyNumberFormat="1" applyFont="1" applyFill="1" applyBorder="1" applyAlignment="1">
      <alignment horizontal="center"/>
      <protection/>
    </xf>
    <xf numFmtId="3" fontId="31" fillId="0" borderId="37" xfId="608" applyNumberFormat="1" applyFont="1" applyBorder="1">
      <alignment/>
      <protection/>
    </xf>
    <xf numFmtId="3" fontId="31" fillId="0" borderId="19" xfId="608" applyNumberFormat="1" applyFont="1" applyBorder="1">
      <alignment/>
      <protection/>
    </xf>
    <xf numFmtId="3" fontId="31" fillId="0" borderId="38" xfId="608" applyNumberFormat="1" applyFont="1" applyBorder="1">
      <alignment/>
      <protection/>
    </xf>
    <xf numFmtId="3" fontId="31" fillId="0" borderId="39" xfId="608" applyNumberFormat="1" applyFont="1" applyBorder="1">
      <alignment/>
      <protection/>
    </xf>
    <xf numFmtId="3" fontId="31" fillId="0" borderId="40" xfId="608" applyNumberFormat="1" applyFont="1" applyBorder="1">
      <alignment/>
      <protection/>
    </xf>
    <xf numFmtId="3" fontId="31" fillId="0" borderId="0" xfId="608" applyNumberFormat="1" applyFont="1" applyBorder="1">
      <alignment/>
      <protection/>
    </xf>
    <xf numFmtId="3" fontId="1" fillId="0" borderId="26" xfId="608" applyNumberFormat="1" applyFont="1" applyFill="1" applyBorder="1" applyAlignment="1">
      <alignment wrapText="1" shrinkToFit="1"/>
      <protection/>
    </xf>
    <xf numFmtId="3" fontId="22" fillId="0" borderId="26" xfId="608" applyNumberFormat="1" applyFont="1" applyFill="1" applyBorder="1" applyAlignment="1">
      <alignment wrapText="1"/>
      <protection/>
    </xf>
    <xf numFmtId="3" fontId="1" fillId="18" borderId="41" xfId="608" applyNumberFormat="1" applyFont="1" applyFill="1" applyBorder="1" applyAlignment="1">
      <alignment horizontal="center" vertical="center"/>
      <protection/>
    </xf>
    <xf numFmtId="3" fontId="21" fillId="18" borderId="42" xfId="608" applyNumberFormat="1" applyFont="1" applyFill="1" applyBorder="1" applyAlignment="1">
      <alignment vertical="center"/>
      <protection/>
    </xf>
    <xf numFmtId="3" fontId="21" fillId="18" borderId="43" xfId="608" applyNumberFormat="1" applyFont="1" applyFill="1" applyBorder="1" applyAlignment="1">
      <alignment vertical="center"/>
      <protection/>
    </xf>
    <xf numFmtId="3" fontId="21" fillId="18" borderId="59" xfId="608" applyNumberFormat="1" applyFont="1" applyFill="1" applyBorder="1" applyAlignment="1">
      <alignment vertical="center"/>
      <protection/>
    </xf>
    <xf numFmtId="3" fontId="21" fillId="18" borderId="45" xfId="608" applyNumberFormat="1" applyFont="1" applyFill="1" applyBorder="1" applyAlignment="1">
      <alignment vertical="center"/>
      <protection/>
    </xf>
    <xf numFmtId="3" fontId="21" fillId="18" borderId="49" xfId="608" applyNumberFormat="1" applyFont="1" applyFill="1" applyBorder="1" applyAlignment="1">
      <alignment vertical="center"/>
      <protection/>
    </xf>
    <xf numFmtId="3" fontId="21" fillId="18" borderId="47" xfId="608" applyNumberFormat="1" applyFont="1" applyFill="1" applyBorder="1" applyAlignment="1">
      <alignment vertical="center"/>
      <protection/>
    </xf>
    <xf numFmtId="3" fontId="21" fillId="18" borderId="41" xfId="608" applyNumberFormat="1" applyFont="1" applyFill="1" applyBorder="1" applyAlignment="1">
      <alignment vertical="center"/>
      <protection/>
    </xf>
    <xf numFmtId="3" fontId="21" fillId="18" borderId="0" xfId="608" applyNumberFormat="1" applyFont="1" applyFill="1" applyAlignment="1">
      <alignment vertical="center"/>
      <protection/>
    </xf>
    <xf numFmtId="3" fontId="21" fillId="0" borderId="0" xfId="608" applyNumberFormat="1" applyFont="1" applyFill="1" applyBorder="1" applyAlignment="1">
      <alignment horizontal="left"/>
      <protection/>
    </xf>
    <xf numFmtId="3" fontId="26" fillId="0" borderId="0" xfId="608" applyNumberFormat="1" applyFont="1" applyFill="1" applyBorder="1">
      <alignment/>
      <protection/>
    </xf>
    <xf numFmtId="3" fontId="22" fillId="18" borderId="0" xfId="608" applyNumberFormat="1" applyFont="1" applyFill="1" applyBorder="1">
      <alignment/>
      <protection/>
    </xf>
    <xf numFmtId="3" fontId="4" fillId="18" borderId="0" xfId="608" applyNumberFormat="1" applyFont="1" applyFill="1" applyBorder="1">
      <alignment/>
      <protection/>
    </xf>
    <xf numFmtId="3" fontId="18" fillId="18" borderId="0" xfId="608" applyNumberFormat="1" applyFont="1" applyFill="1" applyBorder="1">
      <alignment/>
      <protection/>
    </xf>
    <xf numFmtId="3" fontId="24" fillId="18" borderId="60" xfId="608" applyNumberFormat="1" applyFont="1" applyFill="1" applyBorder="1">
      <alignment/>
      <protection/>
    </xf>
    <xf numFmtId="3" fontId="24" fillId="0" borderId="61" xfId="608" applyNumberFormat="1" applyFont="1" applyBorder="1">
      <alignment/>
      <protection/>
    </xf>
    <xf numFmtId="3" fontId="24" fillId="18" borderId="0" xfId="608" applyNumberFormat="1" applyFont="1" applyFill="1" applyBorder="1">
      <alignment/>
      <protection/>
    </xf>
    <xf numFmtId="3" fontId="20" fillId="18" borderId="60" xfId="608" applyNumberFormat="1" applyFont="1" applyFill="1" applyBorder="1">
      <alignment/>
      <protection/>
    </xf>
    <xf numFmtId="3" fontId="31" fillId="18" borderId="60" xfId="608" applyNumberFormat="1" applyFont="1" applyFill="1" applyBorder="1">
      <alignment/>
      <protection/>
    </xf>
    <xf numFmtId="3" fontId="20" fillId="18" borderId="0" xfId="608" applyNumberFormat="1" applyFont="1" applyFill="1" applyBorder="1">
      <alignment/>
      <protection/>
    </xf>
    <xf numFmtId="3" fontId="30" fillId="18" borderId="60" xfId="608" applyNumberFormat="1" applyFont="1" applyFill="1" applyBorder="1">
      <alignment/>
      <protection/>
    </xf>
    <xf numFmtId="3" fontId="22" fillId="18" borderId="33" xfId="608" applyNumberFormat="1" applyFont="1" applyFill="1" applyBorder="1">
      <alignment/>
      <protection/>
    </xf>
    <xf numFmtId="3" fontId="30" fillId="18" borderId="0" xfId="608" applyNumberFormat="1" applyFont="1" applyFill="1" applyBorder="1">
      <alignment/>
      <protection/>
    </xf>
    <xf numFmtId="3" fontId="32" fillId="18" borderId="60" xfId="608" applyNumberFormat="1" applyFont="1" applyFill="1" applyBorder="1">
      <alignment/>
      <protection/>
    </xf>
    <xf numFmtId="3" fontId="22" fillId="18" borderId="60" xfId="608" applyNumberFormat="1" applyFont="1" applyFill="1" applyBorder="1">
      <alignment/>
      <protection/>
    </xf>
    <xf numFmtId="3" fontId="22" fillId="18" borderId="62" xfId="608" applyNumberFormat="1" applyFont="1" applyFill="1" applyBorder="1">
      <alignment/>
      <protection/>
    </xf>
    <xf numFmtId="3" fontId="23" fillId="0" borderId="28" xfId="608" applyNumberFormat="1" applyFont="1" applyBorder="1">
      <alignment/>
      <protection/>
    </xf>
    <xf numFmtId="3" fontId="22" fillId="18" borderId="63" xfId="608" applyNumberFormat="1" applyFont="1" applyFill="1" applyBorder="1">
      <alignment/>
      <protection/>
    </xf>
    <xf numFmtId="3" fontId="25" fillId="18" borderId="60" xfId="608" applyNumberFormat="1" applyFont="1" applyFill="1" applyBorder="1">
      <alignment/>
      <protection/>
    </xf>
    <xf numFmtId="3" fontId="18" fillId="18" borderId="60" xfId="608" applyNumberFormat="1" applyFont="1" applyFill="1" applyBorder="1">
      <alignment/>
      <protection/>
    </xf>
    <xf numFmtId="3" fontId="22" fillId="18" borderId="60" xfId="608" applyNumberFormat="1" applyFont="1" applyFill="1" applyBorder="1" applyAlignment="1">
      <alignment vertical="center" wrapText="1"/>
      <protection/>
    </xf>
    <xf numFmtId="3" fontId="22" fillId="18" borderId="0" xfId="608" applyNumberFormat="1" applyFont="1" applyFill="1" applyBorder="1" applyAlignment="1">
      <alignment vertical="center" wrapText="1"/>
      <protection/>
    </xf>
    <xf numFmtId="3" fontId="21" fillId="18" borderId="60" xfId="608" applyNumberFormat="1" applyFont="1" applyFill="1" applyBorder="1" applyAlignment="1">
      <alignment/>
      <protection/>
    </xf>
    <xf numFmtId="3" fontId="21" fillId="18" borderId="38" xfId="608" applyNumberFormat="1" applyFont="1" applyFill="1" applyBorder="1" applyAlignment="1">
      <alignment/>
      <protection/>
    </xf>
    <xf numFmtId="3" fontId="21" fillId="18" borderId="63" xfId="608" applyNumberFormat="1" applyFont="1" applyFill="1" applyBorder="1" applyAlignment="1">
      <alignment vertical="center"/>
      <protection/>
    </xf>
    <xf numFmtId="3" fontId="21" fillId="18" borderId="46" xfId="608" applyNumberFormat="1" applyFont="1" applyFill="1" applyBorder="1" applyAlignment="1">
      <alignment vertical="center"/>
      <protection/>
    </xf>
    <xf numFmtId="0" fontId="17" fillId="0" borderId="26" xfId="0" applyFont="1" applyFill="1" applyBorder="1" applyAlignment="1">
      <alignment vertical="top"/>
    </xf>
    <xf numFmtId="0" fontId="38" fillId="0" borderId="0" xfId="613" applyFont="1" applyBorder="1">
      <alignment/>
      <protection/>
    </xf>
    <xf numFmtId="3" fontId="38" fillId="0" borderId="26" xfId="613" applyNumberFormat="1" applyFont="1" applyBorder="1">
      <alignment/>
      <protection/>
    </xf>
    <xf numFmtId="3" fontId="5" fillId="0" borderId="0" xfId="613" applyNumberFormat="1" applyFont="1" applyBorder="1">
      <alignment/>
      <protection/>
    </xf>
    <xf numFmtId="165" fontId="5" fillId="0" borderId="0" xfId="613" applyNumberFormat="1" applyFont="1" applyBorder="1">
      <alignment/>
      <protection/>
    </xf>
    <xf numFmtId="6" fontId="38" fillId="0" borderId="26" xfId="613" applyNumberFormat="1" applyFont="1" applyBorder="1">
      <alignment/>
      <protection/>
    </xf>
    <xf numFmtId="6" fontId="5" fillId="0" borderId="0" xfId="613" applyNumberFormat="1" applyFont="1" applyBorder="1">
      <alignment/>
      <protection/>
    </xf>
    <xf numFmtId="6" fontId="38" fillId="0" borderId="25" xfId="613" applyNumberFormat="1" applyFont="1" applyBorder="1">
      <alignment/>
      <protection/>
    </xf>
    <xf numFmtId="0" fontId="5" fillId="0" borderId="0" xfId="613" applyFont="1" applyBorder="1">
      <alignment/>
      <protection/>
    </xf>
    <xf numFmtId="6" fontId="5" fillId="0" borderId="25" xfId="613" applyNumberFormat="1" applyFont="1" applyBorder="1">
      <alignment/>
      <protection/>
    </xf>
    <xf numFmtId="0" fontId="5" fillId="0" borderId="0" xfId="613" applyFont="1" applyBorder="1" applyAlignment="1">
      <alignment vertical="center"/>
      <protection/>
    </xf>
    <xf numFmtId="3" fontId="38" fillId="0" borderId="26" xfId="613" applyNumberFormat="1" applyFont="1" applyBorder="1" applyAlignment="1">
      <alignment vertical="center"/>
      <protection/>
    </xf>
    <xf numFmtId="3" fontId="5" fillId="0" borderId="0" xfId="613" applyNumberFormat="1" applyFont="1" applyBorder="1" applyAlignment="1">
      <alignment vertical="center"/>
      <protection/>
    </xf>
    <xf numFmtId="165" fontId="5" fillId="0" borderId="0" xfId="613" applyNumberFormat="1" applyFont="1" applyBorder="1" applyAlignment="1">
      <alignment vertical="center"/>
      <protection/>
    </xf>
    <xf numFmtId="6" fontId="38" fillId="0" borderId="26" xfId="613" applyNumberFormat="1" applyFont="1" applyBorder="1" applyAlignment="1">
      <alignment vertical="center"/>
      <protection/>
    </xf>
    <xf numFmtId="6" fontId="5" fillId="0" borderId="0" xfId="613" applyNumberFormat="1" applyFont="1" applyBorder="1" applyAlignment="1">
      <alignment vertical="center"/>
      <protection/>
    </xf>
    <xf numFmtId="6" fontId="38" fillId="0" borderId="25" xfId="613" applyNumberFormat="1" applyFont="1" applyBorder="1" applyAlignment="1">
      <alignment vertical="center"/>
      <protection/>
    </xf>
    <xf numFmtId="6" fontId="5" fillId="0" borderId="25" xfId="613" applyNumberFormat="1" applyFont="1" applyBorder="1" applyAlignment="1">
      <alignment vertical="center"/>
      <protection/>
    </xf>
    <xf numFmtId="0" fontId="5" fillId="0" borderId="0" xfId="613" applyFont="1" applyBorder="1" applyAlignment="1">
      <alignment vertical="center" wrapText="1"/>
      <protection/>
    </xf>
    <xf numFmtId="0" fontId="5" fillId="0" borderId="0" xfId="613" applyFont="1">
      <alignment/>
      <protection/>
    </xf>
    <xf numFmtId="3" fontId="5" fillId="0" borderId="0" xfId="613" applyNumberFormat="1" applyFont="1">
      <alignment/>
      <protection/>
    </xf>
    <xf numFmtId="165" fontId="5" fillId="0" borderId="0" xfId="613" applyNumberFormat="1" applyFont="1">
      <alignment/>
      <protection/>
    </xf>
    <xf numFmtId="6" fontId="5" fillId="0" borderId="0" xfId="613" applyNumberFormat="1" applyFont="1">
      <alignment/>
      <protection/>
    </xf>
    <xf numFmtId="0" fontId="39" fillId="0" borderId="54" xfId="613" applyFont="1" applyBorder="1" applyAlignment="1">
      <alignment wrapText="1"/>
      <protection/>
    </xf>
    <xf numFmtId="6" fontId="39" fillId="0" borderId="50" xfId="613" applyNumberFormat="1" applyFont="1" applyBorder="1" applyAlignment="1">
      <alignment horizontal="center" wrapText="1"/>
      <protection/>
    </xf>
    <xf numFmtId="0" fontId="39" fillId="0" borderId="38" xfId="613" applyFont="1" applyBorder="1" applyAlignment="1">
      <alignment vertical="center" wrapText="1"/>
      <protection/>
    </xf>
    <xf numFmtId="3" fontId="39" fillId="0" borderId="26" xfId="613" applyNumberFormat="1" applyFont="1" applyBorder="1" applyAlignment="1">
      <alignment horizontal="center" vertical="top" wrapText="1"/>
      <protection/>
    </xf>
    <xf numFmtId="3" fontId="39" fillId="0" borderId="0" xfId="613" applyNumberFormat="1" applyFont="1" applyBorder="1" applyAlignment="1">
      <alignment horizontal="center" vertical="center" wrapText="1"/>
      <protection/>
    </xf>
    <xf numFmtId="6" fontId="39" fillId="0" borderId="26" xfId="613" applyNumberFormat="1" applyFont="1" applyBorder="1" applyAlignment="1">
      <alignment horizontal="center" vertical="top" wrapText="1"/>
      <protection/>
    </xf>
    <xf numFmtId="6" fontId="39" fillId="0" borderId="25" xfId="613" applyNumberFormat="1" applyFont="1" applyBorder="1" applyAlignment="1">
      <alignment horizontal="center" vertical="top" wrapText="1"/>
      <protection/>
    </xf>
    <xf numFmtId="0" fontId="39" fillId="0" borderId="46" xfId="613" applyFont="1" applyBorder="1" applyAlignment="1">
      <alignment vertical="center" wrapText="1"/>
      <protection/>
    </xf>
    <xf numFmtId="3" fontId="39" fillId="0" borderId="26" xfId="613" applyNumberFormat="1" applyFont="1" applyBorder="1" applyAlignment="1">
      <alignment horizontal="center" vertical="center" wrapText="1"/>
      <protection/>
    </xf>
    <xf numFmtId="3" fontId="39" fillId="0" borderId="63" xfId="613" applyNumberFormat="1" applyFont="1" applyBorder="1" applyAlignment="1">
      <alignment horizontal="center" vertical="center" wrapText="1"/>
      <protection/>
    </xf>
    <xf numFmtId="165" fontId="39" fillId="0" borderId="59" xfId="613" applyNumberFormat="1" applyFont="1" applyBorder="1" applyAlignment="1">
      <alignment horizontal="center" vertical="center" wrapText="1"/>
      <protection/>
    </xf>
    <xf numFmtId="165" fontId="39" fillId="0" borderId="0" xfId="613" applyNumberFormat="1" applyFont="1" applyBorder="1" applyAlignment="1">
      <alignment horizontal="center" vertical="center" wrapText="1"/>
      <protection/>
    </xf>
    <xf numFmtId="6" fontId="39" fillId="0" borderId="26" xfId="613" applyNumberFormat="1" applyFont="1" applyBorder="1" applyAlignment="1">
      <alignment horizontal="center" vertical="center" wrapText="1"/>
      <protection/>
    </xf>
    <xf numFmtId="6" fontId="39" fillId="0" borderId="63" xfId="613" applyNumberFormat="1" applyFont="1" applyBorder="1" applyAlignment="1">
      <alignment horizontal="center" vertical="center" wrapText="1"/>
      <protection/>
    </xf>
    <xf numFmtId="6" fontId="39" fillId="0" borderId="59" xfId="613" applyNumberFormat="1" applyFont="1" applyBorder="1" applyAlignment="1">
      <alignment horizontal="center" vertical="center" wrapText="1"/>
      <protection/>
    </xf>
    <xf numFmtId="6" fontId="39" fillId="0" borderId="0" xfId="613" applyNumberFormat="1" applyFont="1" applyBorder="1" applyAlignment="1">
      <alignment horizontal="center" vertical="center" wrapText="1"/>
      <protection/>
    </xf>
    <xf numFmtId="6" fontId="39" fillId="0" borderId="41" xfId="613" applyNumberFormat="1" applyFont="1" applyBorder="1" applyAlignment="1">
      <alignment horizontal="center" vertical="center" wrapText="1"/>
      <protection/>
    </xf>
    <xf numFmtId="0" fontId="38" fillId="0" borderId="0" xfId="613" applyFont="1" applyBorder="1">
      <alignment/>
      <protection/>
    </xf>
    <xf numFmtId="0" fontId="38" fillId="0" borderId="0" xfId="613" applyFont="1" applyBorder="1" applyAlignment="1">
      <alignment wrapText="1"/>
      <protection/>
    </xf>
    <xf numFmtId="3" fontId="38" fillId="0" borderId="26" xfId="613" applyNumberFormat="1" applyFont="1" applyBorder="1" applyAlignment="1">
      <alignment horizontal="right"/>
      <protection/>
    </xf>
    <xf numFmtId="3" fontId="38" fillId="0" borderId="0" xfId="613" applyNumberFormat="1" applyFont="1" applyBorder="1" applyAlignment="1">
      <alignment horizontal="center"/>
      <protection/>
    </xf>
    <xf numFmtId="165" fontId="38" fillId="0" borderId="0" xfId="613" applyNumberFormat="1" applyFont="1" applyBorder="1" applyAlignment="1">
      <alignment horizontal="center"/>
      <protection/>
    </xf>
    <xf numFmtId="6" fontId="38" fillId="0" borderId="25" xfId="613" applyNumberFormat="1" applyFont="1" applyBorder="1" applyAlignment="1">
      <alignment horizontal="right"/>
      <protection/>
    </xf>
    <xf numFmtId="0" fontId="5" fillId="0" borderId="0" xfId="613" applyFont="1" applyBorder="1">
      <alignment/>
      <protection/>
    </xf>
    <xf numFmtId="3" fontId="5" fillId="0" borderId="26" xfId="613" applyNumberFormat="1" applyFont="1" applyBorder="1" applyAlignment="1">
      <alignment horizontal="right"/>
      <protection/>
    </xf>
    <xf numFmtId="3" fontId="5" fillId="0" borderId="0" xfId="613" applyNumberFormat="1" applyFont="1" applyBorder="1" applyAlignment="1">
      <alignment horizontal="center"/>
      <protection/>
    </xf>
    <xf numFmtId="165" fontId="5" fillId="0" borderId="0" xfId="613" applyNumberFormat="1" applyFont="1" applyBorder="1" applyAlignment="1">
      <alignment horizontal="center"/>
      <protection/>
    </xf>
    <xf numFmtId="6" fontId="5" fillId="0" borderId="26" xfId="613" applyNumberFormat="1" applyFont="1" applyBorder="1" applyAlignment="1">
      <alignment horizontal="right"/>
      <protection/>
    </xf>
    <xf numFmtId="6" fontId="5" fillId="0" borderId="0" xfId="613" applyNumberFormat="1" applyFont="1" applyBorder="1" applyAlignment="1">
      <alignment horizontal="center"/>
      <protection/>
    </xf>
    <xf numFmtId="6" fontId="5" fillId="0" borderId="25" xfId="613" applyNumberFormat="1" applyFont="1" applyBorder="1" applyAlignment="1">
      <alignment horizontal="right"/>
      <protection/>
    </xf>
    <xf numFmtId="6" fontId="5" fillId="0" borderId="26" xfId="613" applyNumberFormat="1" applyFont="1" applyBorder="1">
      <alignment/>
      <protection/>
    </xf>
    <xf numFmtId="0" fontId="5" fillId="0" borderId="38" xfId="613" applyFont="1" applyBorder="1" applyAlignment="1">
      <alignment wrapText="1"/>
      <protection/>
    </xf>
    <xf numFmtId="3" fontId="38" fillId="0" borderId="25" xfId="613" applyNumberFormat="1" applyFont="1" applyBorder="1">
      <alignment/>
      <protection/>
    </xf>
    <xf numFmtId="165" fontId="5" fillId="0" borderId="38" xfId="613" applyNumberFormat="1" applyFont="1" applyBorder="1">
      <alignment/>
      <protection/>
    </xf>
    <xf numFmtId="3" fontId="40" fillId="0" borderId="26" xfId="613" applyNumberFormat="1" applyFont="1" applyBorder="1">
      <alignment/>
      <protection/>
    </xf>
    <xf numFmtId="6" fontId="40" fillId="0" borderId="26" xfId="613" applyNumberFormat="1" applyFont="1" applyBorder="1">
      <alignment/>
      <protection/>
    </xf>
    <xf numFmtId="3" fontId="5" fillId="0" borderId="26" xfId="613" applyNumberFormat="1" applyFont="1" applyBorder="1">
      <alignment/>
      <protection/>
    </xf>
    <xf numFmtId="3" fontId="5" fillId="0" borderId="0" xfId="613" applyNumberFormat="1" applyFont="1" applyBorder="1">
      <alignment/>
      <protection/>
    </xf>
    <xf numFmtId="165" fontId="5" fillId="0" borderId="0" xfId="613" applyNumberFormat="1" applyFont="1" applyBorder="1">
      <alignment/>
      <protection/>
    </xf>
    <xf numFmtId="6" fontId="5" fillId="0" borderId="26" xfId="613" applyNumberFormat="1" applyFont="1" applyBorder="1">
      <alignment/>
      <protection/>
    </xf>
    <xf numFmtId="6" fontId="5" fillId="0" borderId="0" xfId="613" applyNumberFormat="1" applyFont="1" applyBorder="1">
      <alignment/>
      <protection/>
    </xf>
    <xf numFmtId="6" fontId="5" fillId="0" borderId="25" xfId="613" applyNumberFormat="1" applyFont="1" applyBorder="1">
      <alignment/>
      <protection/>
    </xf>
    <xf numFmtId="6" fontId="5" fillId="0" borderId="25" xfId="613" applyNumberFormat="1" applyFont="1" applyBorder="1" applyAlignment="1">
      <alignment horizontal="center"/>
      <protection/>
    </xf>
    <xf numFmtId="6" fontId="38" fillId="0" borderId="26" xfId="613" applyNumberFormat="1" applyFont="1" applyBorder="1" applyAlignment="1">
      <alignment horizontal="right"/>
      <protection/>
    </xf>
    <xf numFmtId="6" fontId="38" fillId="0" borderId="0" xfId="613" applyNumberFormat="1" applyFont="1" applyBorder="1">
      <alignment/>
      <protection/>
    </xf>
    <xf numFmtId="3" fontId="5" fillId="0" borderId="26" xfId="613" applyNumberFormat="1" applyFont="1" applyBorder="1">
      <alignment/>
      <protection/>
    </xf>
    <xf numFmtId="0" fontId="39" fillId="0" borderId="0" xfId="613" applyFont="1" applyBorder="1" applyAlignment="1">
      <alignment horizontal="right" wrapText="1"/>
      <protection/>
    </xf>
    <xf numFmtId="3" fontId="39" fillId="0" borderId="26" xfId="613" applyNumberFormat="1" applyFont="1" applyBorder="1">
      <alignment/>
      <protection/>
    </xf>
    <xf numFmtId="6" fontId="39" fillId="0" borderId="26" xfId="613" applyNumberFormat="1" applyFont="1" applyBorder="1">
      <alignment/>
      <protection/>
    </xf>
    <xf numFmtId="165" fontId="39" fillId="0" borderId="0" xfId="613" applyNumberFormat="1" applyFont="1" applyBorder="1" applyAlignment="1">
      <alignment horizontal="center"/>
      <protection/>
    </xf>
    <xf numFmtId="6" fontId="39" fillId="0" borderId="0" xfId="613" applyNumberFormat="1" applyFont="1" applyBorder="1" applyAlignment="1">
      <alignment horizontal="center"/>
      <protection/>
    </xf>
    <xf numFmtId="0" fontId="39" fillId="0" borderId="0" xfId="613" applyFont="1" applyBorder="1" applyAlignment="1">
      <alignment horizontal="right"/>
      <protection/>
    </xf>
    <xf numFmtId="3" fontId="39" fillId="0" borderId="0" xfId="613" applyNumberFormat="1" applyFont="1" applyBorder="1">
      <alignment/>
      <protection/>
    </xf>
    <xf numFmtId="165" fontId="39" fillId="0" borderId="0" xfId="613" applyNumberFormat="1" applyFont="1" applyBorder="1">
      <alignment/>
      <protection/>
    </xf>
    <xf numFmtId="6" fontId="39" fillId="0" borderId="0" xfId="613" applyNumberFormat="1" applyFont="1" applyBorder="1">
      <alignment/>
      <protection/>
    </xf>
    <xf numFmtId="6" fontId="39" fillId="0" borderId="25" xfId="613" applyNumberFormat="1" applyFont="1" applyBorder="1">
      <alignment/>
      <protection/>
    </xf>
    <xf numFmtId="0" fontId="39" fillId="0" borderId="0" xfId="613" applyFont="1" applyBorder="1">
      <alignment/>
      <protection/>
    </xf>
    <xf numFmtId="3" fontId="38" fillId="0" borderId="0" xfId="613" applyNumberFormat="1" applyFont="1" applyBorder="1">
      <alignment/>
      <protection/>
    </xf>
    <xf numFmtId="165" fontId="38" fillId="0" borderId="0" xfId="613" applyNumberFormat="1" applyFont="1" applyBorder="1">
      <alignment/>
      <protection/>
    </xf>
    <xf numFmtId="0" fontId="5" fillId="0" borderId="38" xfId="613" applyFont="1" applyBorder="1">
      <alignment/>
      <protection/>
    </xf>
    <xf numFmtId="0" fontId="5" fillId="0" borderId="58" xfId="613" applyFont="1" applyBorder="1">
      <alignment/>
      <protection/>
    </xf>
    <xf numFmtId="3" fontId="5" fillId="0" borderId="51" xfId="613" applyNumberFormat="1" applyFont="1" applyBorder="1">
      <alignment/>
      <protection/>
    </xf>
    <xf numFmtId="3" fontId="5" fillId="0" borderId="58" xfId="613" applyNumberFormat="1" applyFont="1" applyBorder="1">
      <alignment/>
      <protection/>
    </xf>
    <xf numFmtId="165" fontId="5" fillId="0" borderId="58" xfId="613" applyNumberFormat="1" applyFont="1" applyBorder="1">
      <alignment/>
      <protection/>
    </xf>
    <xf numFmtId="6" fontId="5" fillId="0" borderId="51" xfId="613" applyNumberFormat="1" applyFont="1" applyBorder="1">
      <alignment/>
      <protection/>
    </xf>
    <xf numFmtId="6" fontId="5" fillId="0" borderId="58" xfId="613" applyNumberFormat="1" applyFont="1" applyBorder="1">
      <alignment/>
      <protection/>
    </xf>
    <xf numFmtId="6" fontId="5" fillId="0" borderId="50" xfId="613" applyNumberFormat="1" applyFont="1" applyBorder="1">
      <alignment/>
      <protection/>
    </xf>
    <xf numFmtId="0" fontId="41" fillId="0" borderId="0" xfId="613" applyFont="1" applyBorder="1">
      <alignment/>
      <protection/>
    </xf>
    <xf numFmtId="3" fontId="41" fillId="0" borderId="26" xfId="613" applyNumberFormat="1" applyFont="1" applyBorder="1">
      <alignment/>
      <protection/>
    </xf>
    <xf numFmtId="3" fontId="41" fillId="0" borderId="0" xfId="613" applyNumberFormat="1" applyFont="1" applyBorder="1">
      <alignment/>
      <protection/>
    </xf>
    <xf numFmtId="165" fontId="41" fillId="0" borderId="0" xfId="613" applyNumberFormat="1" applyFont="1" applyBorder="1">
      <alignment/>
      <protection/>
    </xf>
    <xf numFmtId="6" fontId="41" fillId="0" borderId="26" xfId="613" applyNumberFormat="1" applyFont="1" applyBorder="1">
      <alignment/>
      <protection/>
    </xf>
    <xf numFmtId="0" fontId="5" fillId="0" borderId="48" xfId="613" applyFont="1" applyBorder="1">
      <alignment/>
      <protection/>
    </xf>
    <xf numFmtId="3" fontId="5" fillId="0" borderId="42" xfId="613" applyNumberFormat="1" applyFont="1" applyBorder="1">
      <alignment/>
      <protection/>
    </xf>
    <xf numFmtId="3" fontId="5" fillId="0" borderId="48" xfId="613" applyNumberFormat="1" applyFont="1" applyBorder="1">
      <alignment/>
      <protection/>
    </xf>
    <xf numFmtId="165" fontId="5" fillId="0" borderId="48" xfId="613" applyNumberFormat="1" applyFont="1" applyBorder="1">
      <alignment/>
      <protection/>
    </xf>
    <xf numFmtId="6" fontId="5" fillId="0" borderId="42" xfId="613" applyNumberFormat="1" applyFont="1" applyBorder="1">
      <alignment/>
      <protection/>
    </xf>
    <xf numFmtId="0" fontId="38" fillId="0" borderId="23" xfId="613" applyFont="1" applyBorder="1" applyAlignment="1">
      <alignment vertical="center"/>
      <protection/>
    </xf>
    <xf numFmtId="3" fontId="5" fillId="0" borderId="24" xfId="613" applyNumberFormat="1" applyFont="1" applyBorder="1" applyAlignment="1">
      <alignment vertical="center"/>
      <protection/>
    </xf>
    <xf numFmtId="3" fontId="5" fillId="0" borderId="21" xfId="613" applyNumberFormat="1" applyFont="1" applyBorder="1" applyAlignment="1">
      <alignment vertical="center"/>
      <protection/>
    </xf>
    <xf numFmtId="165" fontId="5" fillId="0" borderId="21" xfId="613" applyNumberFormat="1" applyFont="1" applyBorder="1" applyAlignment="1">
      <alignment vertical="center"/>
      <protection/>
    </xf>
    <xf numFmtId="165" fontId="5" fillId="0" borderId="23" xfId="613" applyNumberFormat="1" applyFont="1" applyBorder="1" applyAlignment="1">
      <alignment vertical="center"/>
      <protection/>
    </xf>
    <xf numFmtId="6" fontId="5" fillId="0" borderId="24" xfId="613" applyNumberFormat="1" applyFont="1" applyBorder="1" applyAlignment="1">
      <alignment vertical="center"/>
      <protection/>
    </xf>
    <xf numFmtId="0" fontId="41" fillId="0" borderId="54" xfId="613" applyFont="1" applyBorder="1" applyAlignment="1">
      <alignment vertical="center"/>
      <protection/>
    </xf>
    <xf numFmtId="3" fontId="41" fillId="0" borderId="51" xfId="613" applyNumberFormat="1" applyFont="1" applyBorder="1" applyAlignment="1">
      <alignment vertical="center"/>
      <protection/>
    </xf>
    <xf numFmtId="3" fontId="41" fillId="0" borderId="58" xfId="613" applyNumberFormat="1" applyFont="1" applyBorder="1" applyAlignment="1">
      <alignment vertical="center"/>
      <protection/>
    </xf>
    <xf numFmtId="165" fontId="41" fillId="0" borderId="58" xfId="613" applyNumberFormat="1" applyFont="1" applyBorder="1" applyAlignment="1">
      <alignment vertical="center"/>
      <protection/>
    </xf>
    <xf numFmtId="165" fontId="41" fillId="0" borderId="54" xfId="613" applyNumberFormat="1" applyFont="1" applyBorder="1" applyAlignment="1">
      <alignment vertical="center"/>
      <protection/>
    </xf>
    <xf numFmtId="6" fontId="41" fillId="0" borderId="51" xfId="613" applyNumberFormat="1" applyFont="1" applyBorder="1" applyAlignment="1">
      <alignment vertical="center"/>
      <protection/>
    </xf>
    <xf numFmtId="3" fontId="39" fillId="0" borderId="0" xfId="613" applyNumberFormat="1" applyFont="1" applyBorder="1" applyAlignment="1">
      <alignment horizontal="center"/>
      <protection/>
    </xf>
    <xf numFmtId="3" fontId="1" fillId="0" borderId="21" xfId="608" applyNumberFormat="1" applyFont="1" applyFill="1" applyBorder="1" applyAlignment="1">
      <alignment horizontal="center" vertical="center"/>
      <protection/>
    </xf>
    <xf numFmtId="3" fontId="1" fillId="18" borderId="64" xfId="608" applyNumberFormat="1" applyFont="1" applyFill="1" applyBorder="1" applyAlignment="1">
      <alignment horizontal="center" vertical="center"/>
      <protection/>
    </xf>
    <xf numFmtId="3" fontId="1" fillId="0" borderId="65" xfId="608" applyNumberFormat="1" applyFont="1" applyBorder="1" applyAlignment="1">
      <alignment horizontal="center" vertical="center"/>
      <protection/>
    </xf>
    <xf numFmtId="3" fontId="1" fillId="0" borderId="66" xfId="608" applyNumberFormat="1" applyFont="1" applyBorder="1" applyAlignment="1">
      <alignment horizontal="center" vertical="center"/>
      <protection/>
    </xf>
    <xf numFmtId="3" fontId="1" fillId="0" borderId="67" xfId="608" applyNumberFormat="1" applyFont="1" applyBorder="1" applyAlignment="1">
      <alignment horizontal="center" vertical="center"/>
      <protection/>
    </xf>
    <xf numFmtId="3" fontId="22" fillId="18" borderId="28" xfId="608" applyNumberFormat="1" applyFont="1" applyFill="1" applyBorder="1">
      <alignment/>
      <protection/>
    </xf>
    <xf numFmtId="3" fontId="4" fillId="18" borderId="28" xfId="608" applyNumberFormat="1" applyFont="1" applyFill="1" applyBorder="1">
      <alignment/>
      <protection/>
    </xf>
    <xf numFmtId="3" fontId="18" fillId="18" borderId="28" xfId="608" applyNumberFormat="1" applyFont="1" applyFill="1" applyBorder="1">
      <alignment/>
      <protection/>
    </xf>
    <xf numFmtId="3" fontId="24" fillId="18" borderId="28" xfId="608" applyNumberFormat="1" applyFont="1" applyFill="1" applyBorder="1">
      <alignment/>
      <protection/>
    </xf>
    <xf numFmtId="3" fontId="20" fillId="18" borderId="28" xfId="608" applyNumberFormat="1" applyFont="1" applyFill="1" applyBorder="1">
      <alignment/>
      <protection/>
    </xf>
    <xf numFmtId="3" fontId="31" fillId="18" borderId="28" xfId="608" applyNumberFormat="1" applyFont="1" applyFill="1" applyBorder="1">
      <alignment/>
      <protection/>
    </xf>
    <xf numFmtId="3" fontId="30" fillId="18" borderId="28" xfId="608" applyNumberFormat="1" applyFont="1" applyFill="1" applyBorder="1">
      <alignment/>
      <protection/>
    </xf>
    <xf numFmtId="3" fontId="22" fillId="18" borderId="27" xfId="608" applyNumberFormat="1" applyFont="1" applyFill="1" applyBorder="1">
      <alignment/>
      <protection/>
    </xf>
    <xf numFmtId="3" fontId="32" fillId="18" borderId="28" xfId="608" applyNumberFormat="1" applyFont="1" applyFill="1" applyBorder="1">
      <alignment/>
      <protection/>
    </xf>
    <xf numFmtId="3" fontId="60" fillId="18" borderId="28" xfId="608" applyNumberFormat="1" applyFont="1" applyFill="1" applyBorder="1">
      <alignment/>
      <protection/>
    </xf>
    <xf numFmtId="3" fontId="13" fillId="0" borderId="37" xfId="608" applyNumberFormat="1" applyFont="1" applyBorder="1">
      <alignment/>
      <protection/>
    </xf>
    <xf numFmtId="3" fontId="22" fillId="18" borderId="43" xfId="608" applyNumberFormat="1" applyFont="1" applyFill="1" applyBorder="1">
      <alignment/>
      <protection/>
    </xf>
    <xf numFmtId="3" fontId="22" fillId="0" borderId="59" xfId="608" applyNumberFormat="1" applyFont="1" applyBorder="1">
      <alignment/>
      <protection/>
    </xf>
    <xf numFmtId="4" fontId="25" fillId="0" borderId="28" xfId="608" applyNumberFormat="1" applyFont="1" applyBorder="1">
      <alignment/>
      <protection/>
    </xf>
    <xf numFmtId="3" fontId="25" fillId="18" borderId="28" xfId="608" applyNumberFormat="1" applyFont="1" applyFill="1" applyBorder="1">
      <alignment/>
      <protection/>
    </xf>
    <xf numFmtId="3" fontId="61" fillId="18" borderId="28" xfId="608" applyNumberFormat="1" applyFont="1" applyFill="1" applyBorder="1">
      <alignment/>
      <protection/>
    </xf>
    <xf numFmtId="3" fontId="30" fillId="0" borderId="0" xfId="608" applyNumberFormat="1" applyFont="1" applyFill="1" applyAlignment="1">
      <alignment horizontal="right"/>
      <protection/>
    </xf>
    <xf numFmtId="3" fontId="22" fillId="18" borderId="28" xfId="608" applyNumberFormat="1" applyFont="1" applyFill="1" applyBorder="1" applyAlignment="1">
      <alignment vertical="center" wrapText="1"/>
      <protection/>
    </xf>
    <xf numFmtId="3" fontId="18" fillId="18" borderId="28" xfId="608" applyNumberFormat="1" applyFont="1" applyFill="1" applyBorder="1" applyAlignment="1">
      <alignment vertical="center" wrapText="1"/>
      <protection/>
    </xf>
    <xf numFmtId="3" fontId="1" fillId="0" borderId="58" xfId="608" applyNumberFormat="1" applyFont="1" applyFill="1" applyBorder="1" applyAlignment="1">
      <alignment horizontal="center" vertical="center"/>
      <protection/>
    </xf>
    <xf numFmtId="3" fontId="1" fillId="0" borderId="58" xfId="608" applyNumberFormat="1" applyFont="1" applyFill="1" applyBorder="1" applyAlignment="1">
      <alignment vertical="center"/>
      <protection/>
    </xf>
    <xf numFmtId="3" fontId="1" fillId="0" borderId="0" xfId="608" applyNumberFormat="1" applyFont="1" applyFill="1" applyBorder="1" applyAlignment="1">
      <alignment/>
      <protection/>
    </xf>
    <xf numFmtId="3" fontId="1" fillId="0" borderId="0" xfId="608" applyNumberFormat="1" applyFont="1" applyFill="1" applyBorder="1" applyAlignment="1">
      <alignment vertical="center"/>
      <protection/>
    </xf>
    <xf numFmtId="3" fontId="37" fillId="0" borderId="0" xfId="608" applyNumberFormat="1" applyFont="1" applyFill="1" applyBorder="1" applyAlignment="1">
      <alignment horizontal="right" vertical="center"/>
      <protection/>
    </xf>
    <xf numFmtId="3" fontId="37" fillId="0" borderId="0" xfId="608" applyNumberFormat="1" applyFont="1" applyFill="1" applyBorder="1" applyAlignment="1">
      <alignment horizontal="right"/>
      <protection/>
    </xf>
    <xf numFmtId="3" fontId="22" fillId="0" borderId="61" xfId="608" applyNumberFormat="1" applyFont="1" applyFill="1" applyBorder="1">
      <alignment/>
      <protection/>
    </xf>
    <xf numFmtId="0" fontId="17" fillId="0" borderId="26" xfId="0" applyFont="1" applyFill="1" applyBorder="1" applyAlignment="1">
      <alignment wrapText="1"/>
    </xf>
    <xf numFmtId="0" fontId="17" fillId="0" borderId="0" xfId="0" applyFont="1" applyFill="1" applyBorder="1" applyAlignment="1">
      <alignment vertical="top" wrapText="1"/>
    </xf>
    <xf numFmtId="167" fontId="17" fillId="0" borderId="0" xfId="583" applyNumberFormat="1" applyFont="1" applyBorder="1" applyAlignment="1">
      <alignment horizontal="center" vertical="top"/>
    </xf>
    <xf numFmtId="167" fontId="17" fillId="0" borderId="0" xfId="583" applyNumberFormat="1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0" xfId="0" applyFont="1" applyAlignment="1">
      <alignment vertical="top"/>
    </xf>
    <xf numFmtId="167" fontId="17" fillId="0" borderId="0" xfId="583" applyNumberFormat="1" applyFont="1" applyBorder="1" applyAlignment="1">
      <alignment vertical="center"/>
    </xf>
    <xf numFmtId="0" fontId="17" fillId="0" borderId="26" xfId="0" applyFont="1" applyBorder="1" applyAlignment="1">
      <alignment vertical="top"/>
    </xf>
    <xf numFmtId="0" fontId="17" fillId="0" borderId="0" xfId="0" applyFont="1" applyBorder="1" applyAlignment="1">
      <alignment vertical="top" wrapText="1"/>
    </xf>
    <xf numFmtId="0" fontId="15" fillId="0" borderId="25" xfId="613" applyFont="1" applyBorder="1" applyAlignment="1">
      <alignment horizontal="center"/>
      <protection/>
    </xf>
    <xf numFmtId="0" fontId="15" fillId="0" borderId="50" xfId="613" applyFont="1" applyBorder="1" applyAlignment="1">
      <alignment horizontal="center" wrapText="1"/>
      <protection/>
    </xf>
    <xf numFmtId="0" fontId="65" fillId="0" borderId="0" xfId="613" applyFont="1" applyAlignment="1">
      <alignment wrapText="1"/>
      <protection/>
    </xf>
    <xf numFmtId="0" fontId="15" fillId="0" borderId="25" xfId="613" applyFont="1" applyBorder="1" applyAlignment="1">
      <alignment horizontal="center" wrapText="1"/>
      <protection/>
    </xf>
    <xf numFmtId="0" fontId="65" fillId="0" borderId="0" xfId="613" applyFont="1" applyBorder="1" applyAlignment="1">
      <alignment vertical="center" wrapText="1"/>
      <protection/>
    </xf>
    <xf numFmtId="0" fontId="15" fillId="0" borderId="41" xfId="613" applyFont="1" applyBorder="1" applyAlignment="1">
      <alignment horizontal="center" wrapText="1"/>
      <protection/>
    </xf>
    <xf numFmtId="0" fontId="65" fillId="0" borderId="0" xfId="613" applyFont="1" applyAlignment="1">
      <alignment vertical="center" wrapText="1"/>
      <protection/>
    </xf>
    <xf numFmtId="0" fontId="63" fillId="0" borderId="0" xfId="613" applyFont="1">
      <alignment/>
      <protection/>
    </xf>
    <xf numFmtId="0" fontId="13" fillId="0" borderId="25" xfId="613" applyFont="1" applyBorder="1" applyAlignment="1">
      <alignment horizontal="center"/>
      <protection/>
    </xf>
    <xf numFmtId="0" fontId="15" fillId="0" borderId="25" xfId="613" applyFont="1" applyBorder="1" applyAlignment="1">
      <alignment horizontal="center" vertical="center"/>
      <protection/>
    </xf>
    <xf numFmtId="0" fontId="66" fillId="0" borderId="0" xfId="613" applyFont="1">
      <alignment/>
      <protection/>
    </xf>
    <xf numFmtId="0" fontId="13" fillId="0" borderId="25" xfId="613" applyFont="1" applyBorder="1" applyAlignment="1">
      <alignment horizontal="center" vertical="center"/>
      <protection/>
    </xf>
    <xf numFmtId="0" fontId="64" fillId="0" borderId="0" xfId="613" applyFont="1" applyAlignment="1">
      <alignment vertical="center"/>
      <protection/>
    </xf>
    <xf numFmtId="0" fontId="65" fillId="0" borderId="0" xfId="613" applyFont="1">
      <alignment/>
      <protection/>
    </xf>
    <xf numFmtId="0" fontId="64" fillId="0" borderId="0" xfId="613" applyFont="1">
      <alignment/>
      <protection/>
    </xf>
    <xf numFmtId="0" fontId="63" fillId="0" borderId="0" xfId="613" applyFont="1">
      <alignment/>
      <protection/>
    </xf>
    <xf numFmtId="0" fontId="15" fillId="0" borderId="50" xfId="613" applyFont="1" applyBorder="1" applyAlignment="1">
      <alignment horizontal="center"/>
      <protection/>
    </xf>
    <xf numFmtId="0" fontId="67" fillId="0" borderId="0" xfId="613" applyFont="1">
      <alignment/>
      <protection/>
    </xf>
    <xf numFmtId="0" fontId="15" fillId="0" borderId="41" xfId="613" applyFont="1" applyBorder="1" applyAlignment="1">
      <alignment horizontal="center"/>
      <protection/>
    </xf>
    <xf numFmtId="0" fontId="67" fillId="0" borderId="0" xfId="613" applyFont="1" applyAlignment="1">
      <alignment vertical="center"/>
      <protection/>
    </xf>
    <xf numFmtId="0" fontId="15" fillId="0" borderId="0" xfId="613" applyFont="1" applyAlignment="1">
      <alignment horizontal="center"/>
      <protection/>
    </xf>
    <xf numFmtId="0" fontId="68" fillId="0" borderId="25" xfId="613" applyFont="1" applyBorder="1" applyAlignment="1">
      <alignment horizontal="center"/>
      <protection/>
    </xf>
    <xf numFmtId="3" fontId="62" fillId="0" borderId="26" xfId="613" applyNumberFormat="1" applyFont="1" applyBorder="1">
      <alignment/>
      <protection/>
    </xf>
    <xf numFmtId="3" fontId="62" fillId="0" borderId="0" xfId="613" applyNumberFormat="1" applyFont="1" applyBorder="1" applyAlignment="1">
      <alignment horizontal="center"/>
      <protection/>
    </xf>
    <xf numFmtId="165" fontId="62" fillId="0" borderId="0" xfId="613" applyNumberFormat="1" applyFont="1" applyBorder="1" applyAlignment="1">
      <alignment horizontal="center"/>
      <protection/>
    </xf>
    <xf numFmtId="6" fontId="62" fillId="0" borderId="26" xfId="613" applyNumberFormat="1" applyFont="1" applyBorder="1">
      <alignment/>
      <protection/>
    </xf>
    <xf numFmtId="6" fontId="62" fillId="0" borderId="0" xfId="613" applyNumberFormat="1" applyFont="1" applyBorder="1" applyAlignment="1">
      <alignment horizontal="center"/>
      <protection/>
    </xf>
    <xf numFmtId="6" fontId="62" fillId="0" borderId="25" xfId="613" applyNumberFormat="1" applyFont="1" applyBorder="1">
      <alignment/>
      <protection/>
    </xf>
    <xf numFmtId="0" fontId="68" fillId="0" borderId="0" xfId="613" applyFont="1">
      <alignment/>
      <protection/>
    </xf>
    <xf numFmtId="3" fontId="5" fillId="0" borderId="26" xfId="613" applyNumberFormat="1" applyFont="1" applyBorder="1" applyAlignment="1">
      <alignment vertical="center"/>
      <protection/>
    </xf>
    <xf numFmtId="6" fontId="5" fillId="0" borderId="26" xfId="613" applyNumberFormat="1" applyFont="1" applyBorder="1" applyAlignment="1">
      <alignment vertical="center"/>
      <protection/>
    </xf>
    <xf numFmtId="6" fontId="5" fillId="0" borderId="25" xfId="613" applyNumberFormat="1" applyFont="1" applyBorder="1" applyAlignment="1">
      <alignment vertical="center"/>
      <protection/>
    </xf>
    <xf numFmtId="0" fontId="17" fillId="0" borderId="20" xfId="613" applyFont="1" applyBorder="1" applyAlignment="1">
      <alignment horizontal="center"/>
      <protection/>
    </xf>
    <xf numFmtId="0" fontId="17" fillId="0" borderId="25" xfId="613" applyFont="1" applyBorder="1" applyAlignment="1">
      <alignment horizontal="center"/>
      <protection/>
    </xf>
    <xf numFmtId="0" fontId="17" fillId="0" borderId="50" xfId="613" applyFont="1" applyBorder="1" applyAlignment="1">
      <alignment horizontal="center" wrapText="1"/>
      <protection/>
    </xf>
    <xf numFmtId="0" fontId="17" fillId="0" borderId="25" xfId="613" applyFont="1" applyBorder="1" applyAlignment="1">
      <alignment horizontal="center" wrapText="1"/>
      <protection/>
    </xf>
    <xf numFmtId="0" fontId="17" fillId="0" borderId="41" xfId="613" applyFont="1" applyBorder="1" applyAlignment="1">
      <alignment horizontal="center" wrapText="1"/>
      <protection/>
    </xf>
    <xf numFmtId="0" fontId="17" fillId="0" borderId="25" xfId="613" applyFont="1" applyBorder="1" applyAlignment="1">
      <alignment horizontal="center" vertical="center"/>
      <protection/>
    </xf>
    <xf numFmtId="0" fontId="19" fillId="0" borderId="25" xfId="613" applyFont="1" applyBorder="1" applyAlignment="1">
      <alignment horizontal="center" vertical="top"/>
      <protection/>
    </xf>
    <xf numFmtId="0" fontId="17" fillId="0" borderId="50" xfId="613" applyFont="1" applyBorder="1" applyAlignment="1">
      <alignment horizontal="center"/>
      <protection/>
    </xf>
    <xf numFmtId="0" fontId="17" fillId="0" borderId="41" xfId="613" applyFont="1" applyBorder="1" applyAlignment="1">
      <alignment horizontal="center"/>
      <protection/>
    </xf>
    <xf numFmtId="0" fontId="17" fillId="0" borderId="0" xfId="613" applyFont="1" applyAlignment="1">
      <alignment horizontal="center"/>
      <protection/>
    </xf>
    <xf numFmtId="0" fontId="16" fillId="0" borderId="20" xfId="613" applyFont="1" applyBorder="1" applyAlignment="1">
      <alignment horizontal="center"/>
      <protection/>
    </xf>
    <xf numFmtId="0" fontId="17" fillId="0" borderId="21" xfId="613" applyFont="1" applyBorder="1" applyAlignment="1">
      <alignment horizontal="center" vertical="center"/>
      <protection/>
    </xf>
    <xf numFmtId="3" fontId="17" fillId="0" borderId="21" xfId="613" applyNumberFormat="1" applyFont="1" applyBorder="1" applyAlignment="1">
      <alignment horizontal="center" vertical="center"/>
      <protection/>
    </xf>
    <xf numFmtId="165" fontId="17" fillId="0" borderId="21" xfId="613" applyNumberFormat="1" applyFont="1" applyBorder="1" applyAlignment="1">
      <alignment horizontal="center" vertical="center"/>
      <protection/>
    </xf>
    <xf numFmtId="6" fontId="17" fillId="0" borderId="20" xfId="613" applyNumberFormat="1" applyFont="1" applyBorder="1" applyAlignment="1">
      <alignment horizontal="center" vertical="center"/>
      <protection/>
    </xf>
    <xf numFmtId="6" fontId="17" fillId="0" borderId="21" xfId="613" applyNumberFormat="1" applyFont="1" applyBorder="1" applyAlignment="1">
      <alignment horizontal="center" vertical="center"/>
      <protection/>
    </xf>
    <xf numFmtId="6" fontId="17" fillId="0" borderId="23" xfId="613" applyNumberFormat="1" applyFont="1" applyBorder="1" applyAlignment="1">
      <alignment horizontal="center" vertical="center"/>
      <protection/>
    </xf>
    <xf numFmtId="0" fontId="16" fillId="0" borderId="0" xfId="613" applyFont="1" applyAlignment="1">
      <alignment horizontal="center" vertical="center"/>
      <protection/>
    </xf>
    <xf numFmtId="6" fontId="5" fillId="0" borderId="26" xfId="613" applyNumberFormat="1" applyFont="1" applyBorder="1" applyAlignment="1">
      <alignment vertical="center"/>
      <protection/>
    </xf>
    <xf numFmtId="0" fontId="5" fillId="0" borderId="38" xfId="613" applyFont="1" applyBorder="1" applyAlignment="1">
      <alignment vertical="center" wrapText="1"/>
      <protection/>
    </xf>
    <xf numFmtId="3" fontId="38" fillId="0" borderId="25" xfId="613" applyNumberFormat="1" applyFont="1" applyBorder="1" applyAlignment="1">
      <alignment vertical="center"/>
      <protection/>
    </xf>
    <xf numFmtId="165" fontId="5" fillId="0" borderId="38" xfId="613" applyNumberFormat="1" applyFont="1" applyBorder="1" applyAlignment="1">
      <alignment vertical="center"/>
      <protection/>
    </xf>
    <xf numFmtId="0" fontId="62" fillId="0" borderId="0" xfId="613" applyFont="1" applyBorder="1" applyAlignment="1">
      <alignment horizontal="right" wrapText="1"/>
      <protection/>
    </xf>
    <xf numFmtId="0" fontId="39" fillId="0" borderId="0" xfId="613" applyFont="1" applyBorder="1">
      <alignment/>
      <protection/>
    </xf>
    <xf numFmtId="3" fontId="5" fillId="0" borderId="0" xfId="613" applyNumberFormat="1" applyFont="1" applyBorder="1" applyAlignment="1">
      <alignment vertical="center"/>
      <protection/>
    </xf>
    <xf numFmtId="165" fontId="5" fillId="0" borderId="0" xfId="613" applyNumberFormat="1" applyFont="1" applyBorder="1" applyAlignment="1">
      <alignment vertical="center"/>
      <protection/>
    </xf>
    <xf numFmtId="6" fontId="5" fillId="0" borderId="0" xfId="613" applyNumberFormat="1" applyFont="1" applyBorder="1" applyAlignment="1">
      <alignment vertical="center"/>
      <protection/>
    </xf>
    <xf numFmtId="3" fontId="1" fillId="0" borderId="51" xfId="611" applyNumberFormat="1" applyFont="1" applyBorder="1" applyAlignment="1">
      <alignment horizontal="center" vertical="center" wrapText="1"/>
      <protection/>
    </xf>
    <xf numFmtId="3" fontId="1" fillId="0" borderId="58" xfId="611" applyNumberFormat="1" applyFont="1" applyBorder="1" applyAlignment="1">
      <alignment horizontal="center" vertical="center" wrapText="1"/>
      <protection/>
    </xf>
    <xf numFmtId="3" fontId="1" fillId="0" borderId="54" xfId="611" applyNumberFormat="1" applyFont="1" applyBorder="1" applyAlignment="1">
      <alignment horizontal="right" vertical="center" wrapText="1"/>
      <protection/>
    </xf>
    <xf numFmtId="165" fontId="1" fillId="0" borderId="58" xfId="611" applyNumberFormat="1" applyFont="1" applyBorder="1" applyAlignment="1">
      <alignment horizontal="center" vertical="center" wrapText="1"/>
      <protection/>
    </xf>
    <xf numFmtId="3" fontId="1" fillId="0" borderId="58" xfId="611" applyNumberFormat="1" applyFont="1" applyBorder="1" applyAlignment="1">
      <alignment horizontal="right" vertical="center" wrapText="1"/>
      <protection/>
    </xf>
    <xf numFmtId="3" fontId="1" fillId="0" borderId="50" xfId="611" applyNumberFormat="1" applyFont="1" applyBorder="1" applyAlignment="1">
      <alignment horizontal="right" vertical="center"/>
      <protection/>
    </xf>
    <xf numFmtId="3" fontId="1" fillId="0" borderId="0" xfId="611" applyNumberFormat="1" applyFont="1" applyAlignment="1">
      <alignment vertical="center"/>
      <protection/>
    </xf>
    <xf numFmtId="3" fontId="20" fillId="0" borderId="26" xfId="611" applyNumberFormat="1" applyFont="1" applyBorder="1" applyAlignment="1">
      <alignment horizontal="left" vertical="center" wrapText="1"/>
      <protection/>
    </xf>
    <xf numFmtId="3" fontId="20" fillId="0" borderId="0" xfId="611" applyNumberFormat="1" applyFont="1" applyBorder="1" applyAlignment="1">
      <alignment horizontal="center" vertical="center" wrapText="1"/>
      <protection/>
    </xf>
    <xf numFmtId="3" fontId="20" fillId="0" borderId="38" xfId="611" applyNumberFormat="1" applyFont="1" applyBorder="1" applyAlignment="1">
      <alignment horizontal="right" vertical="center" wrapText="1"/>
      <protection/>
    </xf>
    <xf numFmtId="165" fontId="20" fillId="0" borderId="0" xfId="611" applyNumberFormat="1" applyFont="1" applyBorder="1" applyAlignment="1">
      <alignment horizontal="center" vertical="center" wrapText="1"/>
      <protection/>
    </xf>
    <xf numFmtId="3" fontId="20" fillId="0" borderId="0" xfId="611" applyNumberFormat="1" applyFont="1" applyBorder="1" applyAlignment="1">
      <alignment horizontal="right" vertical="center" wrapText="1"/>
      <protection/>
    </xf>
    <xf numFmtId="3" fontId="20" fillId="0" borderId="26" xfId="611" applyNumberFormat="1" applyFont="1" applyBorder="1" applyAlignment="1">
      <alignment horizontal="center" vertical="center" wrapText="1"/>
      <protection/>
    </xf>
    <xf numFmtId="3" fontId="1" fillId="0" borderId="58" xfId="611" applyNumberFormat="1" applyFont="1" applyBorder="1" applyAlignment="1">
      <alignment horizontal="left" vertical="center" wrapText="1"/>
      <protection/>
    </xf>
    <xf numFmtId="3" fontId="1" fillId="0" borderId="50" xfId="611" applyNumberFormat="1" applyFont="1" applyBorder="1" applyAlignment="1">
      <alignment horizontal="center" vertical="center"/>
      <protection/>
    </xf>
    <xf numFmtId="3" fontId="17" fillId="0" borderId="25" xfId="611" applyNumberFormat="1" applyFont="1" applyBorder="1" applyAlignment="1">
      <alignment horizontal="center" vertical="center"/>
      <protection/>
    </xf>
    <xf numFmtId="3" fontId="70" fillId="0" borderId="0" xfId="611" applyNumberFormat="1" applyFont="1" applyBorder="1" applyAlignment="1">
      <alignment horizontal="left" vertical="center"/>
      <protection/>
    </xf>
    <xf numFmtId="3" fontId="70" fillId="0" borderId="38" xfId="611" applyNumberFormat="1" applyFont="1" applyBorder="1" applyAlignment="1">
      <alignment horizontal="right" vertical="center" wrapText="1"/>
      <protection/>
    </xf>
    <xf numFmtId="3" fontId="70" fillId="0" borderId="38" xfId="611" applyNumberFormat="1" applyFont="1" applyBorder="1" applyAlignment="1">
      <alignment horizontal="right" vertical="center"/>
      <protection/>
    </xf>
    <xf numFmtId="3" fontId="20" fillId="0" borderId="0" xfId="611" applyNumberFormat="1" applyFont="1" applyBorder="1" applyAlignment="1">
      <alignment vertical="center"/>
      <protection/>
    </xf>
    <xf numFmtId="3" fontId="20" fillId="0" borderId="0" xfId="611" applyNumberFormat="1" applyFont="1" applyAlignment="1">
      <alignment vertical="center"/>
      <protection/>
    </xf>
    <xf numFmtId="3" fontId="70" fillId="0" borderId="26" xfId="611" applyNumberFormat="1" applyFont="1" applyBorder="1" applyAlignment="1">
      <alignment horizontal="center" vertical="center" wrapText="1"/>
      <protection/>
    </xf>
    <xf numFmtId="3" fontId="70" fillId="0" borderId="0" xfId="611" applyNumberFormat="1" applyFont="1" applyBorder="1" applyAlignment="1">
      <alignment horizontal="center" vertical="center" wrapText="1"/>
      <protection/>
    </xf>
    <xf numFmtId="165" fontId="70" fillId="0" borderId="0" xfId="611" applyNumberFormat="1" applyFont="1" applyBorder="1" applyAlignment="1">
      <alignment horizontal="center" vertical="center" wrapText="1"/>
      <protection/>
    </xf>
    <xf numFmtId="3" fontId="70" fillId="0" borderId="0" xfId="611" applyNumberFormat="1" applyFont="1" applyBorder="1" applyAlignment="1">
      <alignment horizontal="right" vertical="center" wrapText="1"/>
      <protection/>
    </xf>
    <xf numFmtId="3" fontId="70" fillId="0" borderId="0" xfId="611" applyNumberFormat="1" applyFont="1" applyAlignment="1">
      <alignment vertical="center"/>
      <protection/>
    </xf>
    <xf numFmtId="3" fontId="20" fillId="0" borderId="0" xfId="611" applyNumberFormat="1" applyFont="1" applyBorder="1" applyAlignment="1">
      <alignment horizontal="left" vertical="center"/>
      <protection/>
    </xf>
    <xf numFmtId="3" fontId="20" fillId="0" borderId="0" xfId="611" applyNumberFormat="1" applyFont="1" applyBorder="1" applyAlignment="1">
      <alignment horizontal="left" vertical="center" wrapText="1"/>
      <protection/>
    </xf>
    <xf numFmtId="3" fontId="1" fillId="0" borderId="38" xfId="611" applyNumberFormat="1" applyFont="1" applyBorder="1" applyAlignment="1">
      <alignment horizontal="right" vertical="center"/>
      <protection/>
    </xf>
    <xf numFmtId="3" fontId="20" fillId="0" borderId="38" xfId="611" applyNumberFormat="1" applyFont="1" applyBorder="1" applyAlignment="1">
      <alignment horizontal="center" vertical="center" wrapText="1"/>
      <protection/>
    </xf>
    <xf numFmtId="3" fontId="17" fillId="0" borderId="41" xfId="611" applyNumberFormat="1" applyFont="1" applyBorder="1" applyAlignment="1">
      <alignment horizontal="center" vertical="center"/>
      <protection/>
    </xf>
    <xf numFmtId="3" fontId="20" fillId="0" borderId="48" xfId="611" applyNumberFormat="1" applyFont="1" applyBorder="1" applyAlignment="1">
      <alignment horizontal="left" vertical="center" wrapText="1"/>
      <protection/>
    </xf>
    <xf numFmtId="3" fontId="20" fillId="0" borderId="42" xfId="611" applyNumberFormat="1" applyFont="1" applyBorder="1" applyAlignment="1">
      <alignment horizontal="left" vertical="center" wrapText="1"/>
      <protection/>
    </xf>
    <xf numFmtId="165" fontId="20" fillId="0" borderId="48" xfId="611" applyNumberFormat="1" applyFont="1" applyBorder="1" applyAlignment="1">
      <alignment horizontal="center" vertical="center" wrapText="1"/>
      <protection/>
    </xf>
    <xf numFmtId="3" fontId="20" fillId="0" borderId="46" xfId="611" applyNumberFormat="1" applyFont="1" applyBorder="1" applyAlignment="1">
      <alignment horizontal="right" vertical="center" wrapText="1"/>
      <protection/>
    </xf>
    <xf numFmtId="3" fontId="20" fillId="0" borderId="48" xfId="611" applyNumberFormat="1" applyFont="1" applyBorder="1" applyAlignment="1">
      <alignment horizontal="right" vertical="center" wrapText="1"/>
      <protection/>
    </xf>
    <xf numFmtId="3" fontId="1" fillId="0" borderId="46" xfId="611" applyNumberFormat="1" applyFont="1" applyBorder="1" applyAlignment="1">
      <alignment horizontal="right" vertical="center"/>
      <protection/>
    </xf>
    <xf numFmtId="0" fontId="71" fillId="0" borderId="25" xfId="0" applyFont="1" applyBorder="1" applyAlignment="1">
      <alignment horizontal="center" vertical="top"/>
    </xf>
    <xf numFmtId="0" fontId="71" fillId="0" borderId="25" xfId="0" applyFont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top"/>
    </xf>
    <xf numFmtId="0" fontId="71" fillId="0" borderId="25" xfId="0" applyFont="1" applyBorder="1" applyAlignment="1">
      <alignment horizontal="center"/>
    </xf>
    <xf numFmtId="167" fontId="17" fillId="0" borderId="38" xfId="583" applyNumberFormat="1" applyFont="1" applyBorder="1" applyAlignment="1">
      <alignment vertical="top"/>
    </xf>
    <xf numFmtId="6" fontId="39" fillId="0" borderId="25" xfId="613" applyNumberFormat="1" applyFont="1" applyBorder="1">
      <alignment/>
      <protection/>
    </xf>
    <xf numFmtId="3" fontId="72" fillId="0" borderId="0" xfId="608" applyNumberFormat="1" applyFont="1" applyBorder="1" applyAlignment="1">
      <alignment/>
      <protection/>
    </xf>
    <xf numFmtId="3" fontId="73" fillId="0" borderId="0" xfId="608" applyNumberFormat="1" applyFont="1" applyBorder="1">
      <alignment/>
      <protection/>
    </xf>
    <xf numFmtId="3" fontId="73" fillId="0" borderId="0" xfId="608" applyNumberFormat="1" applyFont="1" applyFill="1" applyBorder="1">
      <alignment/>
      <protection/>
    </xf>
    <xf numFmtId="3" fontId="1" fillId="0" borderId="0" xfId="608" applyNumberFormat="1" applyFont="1" applyFill="1" applyAlignment="1">
      <alignment horizontal="left"/>
      <protection/>
    </xf>
    <xf numFmtId="3" fontId="74" fillId="0" borderId="0" xfId="608" applyNumberFormat="1" applyFont="1" applyBorder="1" applyAlignment="1">
      <alignment horizontal="centerContinuous"/>
      <protection/>
    </xf>
    <xf numFmtId="167" fontId="1" fillId="18" borderId="41" xfId="585" applyNumberFormat="1" applyFont="1" applyFill="1" applyBorder="1" applyAlignment="1">
      <alignment horizontal="center" vertical="center" wrapText="1"/>
    </xf>
    <xf numFmtId="167" fontId="28" fillId="18" borderId="24" xfId="585" applyNumberFormat="1" applyFont="1" applyFill="1" applyBorder="1" applyAlignment="1">
      <alignment vertical="center" wrapText="1"/>
    </xf>
    <xf numFmtId="167" fontId="28" fillId="18" borderId="64" xfId="585" applyNumberFormat="1" applyFont="1" applyFill="1" applyBorder="1" applyAlignment="1">
      <alignment horizontal="centerContinuous" vertical="center" wrapText="1"/>
    </xf>
    <xf numFmtId="167" fontId="28" fillId="18" borderId="68" xfId="585" applyNumberFormat="1" applyFont="1" applyFill="1" applyBorder="1" applyAlignment="1">
      <alignment horizontal="centerContinuous" vertical="center" wrapText="1"/>
    </xf>
    <xf numFmtId="167" fontId="28" fillId="18" borderId="69" xfId="585" applyNumberFormat="1" applyFont="1" applyFill="1" applyBorder="1" applyAlignment="1">
      <alignment horizontal="centerContinuous" vertical="center" wrapText="1"/>
    </xf>
    <xf numFmtId="167" fontId="28" fillId="18" borderId="67" xfId="585" applyNumberFormat="1" applyFont="1" applyFill="1" applyBorder="1" applyAlignment="1">
      <alignment horizontal="center" vertical="center" wrapText="1"/>
    </xf>
    <xf numFmtId="167" fontId="28" fillId="18" borderId="65" xfId="585" applyNumberFormat="1" applyFont="1" applyFill="1" applyBorder="1" applyAlignment="1">
      <alignment horizontal="center" vertical="center" wrapText="1"/>
    </xf>
    <xf numFmtId="167" fontId="28" fillId="18" borderId="66" xfId="585" applyNumberFormat="1" applyFont="1" applyFill="1" applyBorder="1" applyAlignment="1">
      <alignment horizontal="center" vertical="center" wrapText="1"/>
    </xf>
    <xf numFmtId="167" fontId="28" fillId="18" borderId="23" xfId="585" applyNumberFormat="1" applyFont="1" applyFill="1" applyBorder="1" applyAlignment="1">
      <alignment horizontal="center" vertical="center" wrapText="1"/>
    </xf>
    <xf numFmtId="167" fontId="28" fillId="18" borderId="20" xfId="585" applyNumberFormat="1" applyFont="1" applyFill="1" applyBorder="1" applyAlignment="1">
      <alignment horizontal="centerContinuous" vertical="center" wrapText="1"/>
    </xf>
    <xf numFmtId="167" fontId="28" fillId="18" borderId="0" xfId="585" applyNumberFormat="1" applyFont="1" applyFill="1" applyAlignment="1">
      <alignment vertical="center" wrapText="1"/>
    </xf>
    <xf numFmtId="167" fontId="1" fillId="0" borderId="25" xfId="585" applyNumberFormat="1" applyFont="1" applyFill="1" applyBorder="1" applyAlignment="1">
      <alignment horizontal="center"/>
    </xf>
    <xf numFmtId="167" fontId="35" fillId="0" borderId="52" xfId="585" applyNumberFormat="1" applyFont="1" applyFill="1" applyBorder="1" applyAlignment="1">
      <alignment horizontal="centerContinuous"/>
    </xf>
    <xf numFmtId="167" fontId="35" fillId="0" borderId="53" xfId="585" applyNumberFormat="1" applyFont="1" applyFill="1" applyBorder="1" applyAlignment="1">
      <alignment horizontal="centerContinuous"/>
    </xf>
    <xf numFmtId="167" fontId="35" fillId="18" borderId="58" xfId="585" applyNumberFormat="1" applyFont="1" applyFill="1" applyBorder="1" applyAlignment="1">
      <alignment horizontal="centerContinuous"/>
    </xf>
    <xf numFmtId="167" fontId="35" fillId="18" borderId="52" xfId="585" applyNumberFormat="1" applyFont="1" applyFill="1" applyBorder="1" applyAlignment="1">
      <alignment horizontal="centerContinuous"/>
    </xf>
    <xf numFmtId="167" fontId="35" fillId="0" borderId="54" xfId="585" applyNumberFormat="1" applyFont="1" applyFill="1" applyBorder="1" applyAlignment="1">
      <alignment horizontal="centerContinuous"/>
    </xf>
    <xf numFmtId="167" fontId="35" fillId="0" borderId="55" xfId="585" applyNumberFormat="1" applyFont="1" applyFill="1" applyBorder="1" applyAlignment="1">
      <alignment horizontal="centerContinuous"/>
    </xf>
    <xf numFmtId="167" fontId="35" fillId="0" borderId="56" xfId="585" applyNumberFormat="1" applyFont="1" applyFill="1" applyBorder="1" applyAlignment="1">
      <alignment horizontal="centerContinuous"/>
    </xf>
    <xf numFmtId="167" fontId="35" fillId="0" borderId="57" xfId="585" applyNumberFormat="1" applyFont="1" applyFill="1" applyBorder="1" applyAlignment="1">
      <alignment horizontal="centerContinuous"/>
    </xf>
    <xf numFmtId="167" fontId="35" fillId="0" borderId="51" xfId="585" applyNumberFormat="1" applyFont="1" applyFill="1" applyBorder="1" applyAlignment="1">
      <alignment horizontal="centerContinuous"/>
    </xf>
    <xf numFmtId="167" fontId="35" fillId="0" borderId="58" xfId="585" applyNumberFormat="1" applyFont="1" applyFill="1" applyBorder="1" applyAlignment="1">
      <alignment horizontal="centerContinuous"/>
    </xf>
    <xf numFmtId="167" fontId="35" fillId="0" borderId="50" xfId="585" applyNumberFormat="1" applyFont="1" applyFill="1" applyBorder="1" applyAlignment="1">
      <alignment horizontal="centerContinuous"/>
    </xf>
    <xf numFmtId="167" fontId="35" fillId="0" borderId="0" xfId="585" applyNumberFormat="1" applyFont="1" applyFill="1" applyBorder="1" applyAlignment="1">
      <alignment/>
    </xf>
    <xf numFmtId="3" fontId="60" fillId="0" borderId="37" xfId="608" applyNumberFormat="1" applyFont="1" applyBorder="1">
      <alignment/>
      <protection/>
    </xf>
    <xf numFmtId="3" fontId="60" fillId="0" borderId="61" xfId="608" applyNumberFormat="1" applyFont="1" applyBorder="1">
      <alignment/>
      <protection/>
    </xf>
    <xf numFmtId="3" fontId="61" fillId="0" borderId="37" xfId="608" applyNumberFormat="1" applyFont="1" applyBorder="1">
      <alignment/>
      <protection/>
    </xf>
    <xf numFmtId="3" fontId="75" fillId="0" borderId="37" xfId="608" applyNumberFormat="1" applyFont="1" applyBorder="1">
      <alignment/>
      <protection/>
    </xf>
    <xf numFmtId="3" fontId="24" fillId="0" borderId="25" xfId="608" applyNumberFormat="1" applyFont="1" applyBorder="1">
      <alignment/>
      <protection/>
    </xf>
    <xf numFmtId="4" fontId="10" fillId="0" borderId="0" xfId="608" applyNumberFormat="1" applyFont="1">
      <alignment/>
      <protection/>
    </xf>
    <xf numFmtId="0" fontId="0" fillId="0" borderId="0" xfId="0" applyFont="1" applyFill="1" applyBorder="1" applyAlignment="1">
      <alignment wrapText="1"/>
    </xf>
    <xf numFmtId="0" fontId="0" fillId="0" borderId="26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167" fontId="0" fillId="0" borderId="0" xfId="583" applyNumberFormat="1" applyFont="1" applyBorder="1" applyAlignment="1">
      <alignment horizontal="center" vertical="top"/>
    </xf>
    <xf numFmtId="167" fontId="0" fillId="0" borderId="0" xfId="583" applyNumberFormat="1" applyFont="1" applyBorder="1" applyAlignment="1">
      <alignment vertical="top"/>
    </xf>
    <xf numFmtId="167" fontId="0" fillId="0" borderId="38" xfId="583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 wrapText="1"/>
    </xf>
    <xf numFmtId="167" fontId="0" fillId="0" borderId="0" xfId="585" applyNumberFormat="1" applyFont="1" applyBorder="1" applyAlignment="1">
      <alignment horizontal="center"/>
    </xf>
    <xf numFmtId="167" fontId="0" fillId="0" borderId="0" xfId="585" applyNumberFormat="1" applyFont="1" applyBorder="1" applyAlignment="1">
      <alignment/>
    </xf>
    <xf numFmtId="167" fontId="0" fillId="0" borderId="0" xfId="585" applyNumberFormat="1" applyFont="1" applyBorder="1" applyAlignment="1">
      <alignment vertical="top"/>
    </xf>
    <xf numFmtId="167" fontId="0" fillId="0" borderId="38" xfId="585" applyNumberFormat="1" applyFont="1" applyBorder="1" applyAlignment="1">
      <alignment vertical="top"/>
    </xf>
    <xf numFmtId="0" fontId="0" fillId="0" borderId="26" xfId="0" applyFont="1" applyFill="1" applyBorder="1" applyAlignment="1">
      <alignment wrapText="1"/>
    </xf>
    <xf numFmtId="167" fontId="0" fillId="0" borderId="38" xfId="58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7" fontId="0" fillId="0" borderId="0" xfId="58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7" fontId="0" fillId="0" borderId="38" xfId="585" applyNumberFormat="1" applyFont="1" applyBorder="1" applyAlignment="1">
      <alignment/>
    </xf>
    <xf numFmtId="0" fontId="0" fillId="0" borderId="51" xfId="0" applyFont="1" applyBorder="1" applyAlignment="1">
      <alignment vertical="top"/>
    </xf>
    <xf numFmtId="0" fontId="0" fillId="0" borderId="58" xfId="0" applyFont="1" applyBorder="1" applyAlignment="1">
      <alignment vertical="top" wrapText="1"/>
    </xf>
    <xf numFmtId="167" fontId="0" fillId="0" borderId="58" xfId="583" applyNumberFormat="1" applyFont="1" applyBorder="1" applyAlignment="1">
      <alignment horizontal="center" vertical="top"/>
    </xf>
    <xf numFmtId="167" fontId="0" fillId="0" borderId="58" xfId="583" applyNumberFormat="1" applyFont="1" applyBorder="1" applyAlignment="1">
      <alignment vertical="top"/>
    </xf>
    <xf numFmtId="167" fontId="0" fillId="0" borderId="54" xfId="583" applyNumberFormat="1" applyFont="1" applyBorder="1" applyAlignment="1">
      <alignment vertical="top"/>
    </xf>
    <xf numFmtId="167" fontId="0" fillId="0" borderId="0" xfId="583" applyNumberFormat="1" applyFont="1" applyBorder="1" applyAlignment="1">
      <alignment horizont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67" fontId="0" fillId="0" borderId="0" xfId="583" applyNumberFormat="1" applyFont="1" applyBorder="1" applyAlignment="1">
      <alignment vertical="center"/>
    </xf>
    <xf numFmtId="167" fontId="0" fillId="0" borderId="38" xfId="583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67" fontId="0" fillId="0" borderId="0" xfId="583" applyNumberFormat="1" applyFont="1" applyFill="1" applyBorder="1" applyAlignment="1">
      <alignment horizontal="center" vertical="top"/>
    </xf>
    <xf numFmtId="167" fontId="0" fillId="0" borderId="0" xfId="583" applyNumberFormat="1" applyFont="1" applyFill="1" applyBorder="1" applyAlignment="1">
      <alignment vertical="top"/>
    </xf>
    <xf numFmtId="167" fontId="0" fillId="0" borderId="38" xfId="583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" fontId="153" fillId="0" borderId="0" xfId="609" applyNumberFormat="1" applyFont="1">
      <alignment/>
      <protection/>
    </xf>
    <xf numFmtId="3" fontId="154" fillId="0" borderId="0" xfId="609" applyNumberFormat="1" applyFont="1" applyBorder="1">
      <alignment/>
      <protection/>
    </xf>
    <xf numFmtId="3" fontId="155" fillId="0" borderId="0" xfId="609" applyNumberFormat="1" applyFont="1" applyBorder="1" applyAlignment="1">
      <alignment horizontal="center" vertical="center"/>
      <protection/>
    </xf>
    <xf numFmtId="4" fontId="156" fillId="0" borderId="0" xfId="609" applyNumberFormat="1" applyFont="1" applyAlignment="1">
      <alignment horizontal="centerContinuous" vertical="top"/>
      <protection/>
    </xf>
    <xf numFmtId="3" fontId="156" fillId="0" borderId="0" xfId="609" applyNumberFormat="1" applyFont="1" applyBorder="1" applyAlignment="1">
      <alignment vertical="top"/>
      <protection/>
    </xf>
    <xf numFmtId="4" fontId="157" fillId="0" borderId="0" xfId="609" applyNumberFormat="1" applyFont="1" applyAlignment="1">
      <alignment horizontal="centerContinuous" vertical="center"/>
      <protection/>
    </xf>
    <xf numFmtId="3" fontId="158" fillId="0" borderId="0" xfId="609" applyNumberFormat="1" applyFont="1" applyBorder="1" applyAlignment="1">
      <alignment vertical="center"/>
      <protection/>
    </xf>
    <xf numFmtId="4" fontId="153" fillId="0" borderId="0" xfId="609" applyNumberFormat="1" applyFont="1" applyAlignment="1">
      <alignment horizontal="right" vertical="center"/>
      <protection/>
    </xf>
    <xf numFmtId="3" fontId="153" fillId="0" borderId="0" xfId="609" applyNumberFormat="1" applyFont="1" applyBorder="1" applyAlignment="1">
      <alignment vertical="center"/>
      <protection/>
    </xf>
    <xf numFmtId="4" fontId="155" fillId="0" borderId="23" xfId="609" applyNumberFormat="1" applyFont="1" applyBorder="1" applyAlignment="1">
      <alignment horizontal="center" vertical="center"/>
      <protection/>
    </xf>
    <xf numFmtId="4" fontId="159" fillId="0" borderId="46" xfId="609" applyNumberFormat="1" applyFont="1" applyBorder="1" applyAlignment="1">
      <alignment horizontal="centerContinuous" vertical="center" wrapText="1"/>
      <protection/>
    </xf>
    <xf numFmtId="3" fontId="159" fillId="0" borderId="0" xfId="609" applyNumberFormat="1" applyFont="1" applyBorder="1" applyAlignment="1">
      <alignment vertical="center" wrapText="1"/>
      <protection/>
    </xf>
    <xf numFmtId="4" fontId="153" fillId="0" borderId="38" xfId="609" applyNumberFormat="1" applyFont="1" applyBorder="1">
      <alignment/>
      <protection/>
    </xf>
    <xf numFmtId="4" fontId="160" fillId="0" borderId="23" xfId="609" applyNumberFormat="1" applyFont="1" applyBorder="1" applyAlignment="1">
      <alignment vertical="center"/>
      <protection/>
    </xf>
    <xf numFmtId="3" fontId="160" fillId="0" borderId="0" xfId="609" applyNumberFormat="1" applyFont="1" applyBorder="1" applyAlignment="1">
      <alignment vertical="center"/>
      <protection/>
    </xf>
    <xf numFmtId="164" fontId="5" fillId="0" borderId="0" xfId="626" applyNumberFormat="1" applyFont="1" applyAlignment="1">
      <alignment/>
    </xf>
    <xf numFmtId="6" fontId="64" fillId="0" borderId="0" xfId="619" applyNumberFormat="1" applyFont="1" applyAlignment="1">
      <alignment/>
    </xf>
    <xf numFmtId="167" fontId="64" fillId="0" borderId="0" xfId="585" applyNumberFormat="1" applyFont="1" applyAlignment="1">
      <alignment/>
    </xf>
    <xf numFmtId="0" fontId="1" fillId="0" borderId="0" xfId="608" applyFont="1" applyFill="1" applyAlignment="1">
      <alignment/>
      <protection/>
    </xf>
    <xf numFmtId="0" fontId="15" fillId="0" borderId="0" xfId="613" applyFont="1" applyAlignment="1">
      <alignment horizontal="center" vertical="top"/>
      <protection/>
    </xf>
    <xf numFmtId="0" fontId="17" fillId="0" borderId="0" xfId="613" applyFont="1" applyAlignment="1">
      <alignment horizontal="center" vertical="top"/>
      <protection/>
    </xf>
    <xf numFmtId="6" fontId="64" fillId="0" borderId="0" xfId="619" applyNumberFormat="1" applyFont="1" applyAlignment="1">
      <alignment vertical="top"/>
    </xf>
    <xf numFmtId="167" fontId="64" fillId="0" borderId="0" xfId="585" applyNumberFormat="1" applyFont="1" applyAlignment="1">
      <alignment vertical="top"/>
    </xf>
    <xf numFmtId="0" fontId="64" fillId="0" borderId="0" xfId="613" applyFont="1" applyAlignment="1">
      <alignment vertical="top"/>
      <protection/>
    </xf>
    <xf numFmtId="164" fontId="17" fillId="0" borderId="23" xfId="626" applyNumberFormat="1" applyFont="1" applyBorder="1" applyAlignment="1">
      <alignment horizontal="center" vertical="center"/>
    </xf>
    <xf numFmtId="6" fontId="16" fillId="0" borderId="0" xfId="619" applyNumberFormat="1" applyFont="1" applyAlignment="1">
      <alignment horizontal="center" vertical="center"/>
    </xf>
    <xf numFmtId="167" fontId="16" fillId="0" borderId="0" xfId="585" applyNumberFormat="1" applyFont="1" applyAlignment="1">
      <alignment horizontal="center" vertical="center"/>
    </xf>
    <xf numFmtId="164" fontId="39" fillId="0" borderId="50" xfId="626" applyNumberFormat="1" applyFont="1" applyBorder="1" applyAlignment="1">
      <alignment horizontal="center" wrapText="1"/>
    </xf>
    <xf numFmtId="6" fontId="65" fillId="0" borderId="0" xfId="619" applyNumberFormat="1" applyFont="1" applyBorder="1" applyAlignment="1">
      <alignment horizontal="center" wrapText="1"/>
    </xf>
    <xf numFmtId="167" fontId="65" fillId="0" borderId="0" xfId="585" applyNumberFormat="1" applyFont="1" applyAlignment="1">
      <alignment wrapText="1"/>
    </xf>
    <xf numFmtId="164" fontId="39" fillId="0" borderId="25" xfId="626" applyNumberFormat="1" applyFont="1" applyBorder="1" applyAlignment="1">
      <alignment horizontal="center" vertical="top" wrapText="1"/>
    </xf>
    <xf numFmtId="6" fontId="65" fillId="0" borderId="0" xfId="619" applyNumberFormat="1" applyFont="1" applyBorder="1" applyAlignment="1">
      <alignment horizontal="center" vertical="top" wrapText="1"/>
    </xf>
    <xf numFmtId="167" fontId="65" fillId="0" borderId="0" xfId="585" applyNumberFormat="1" applyFont="1" applyBorder="1" applyAlignment="1">
      <alignment vertical="center" wrapText="1"/>
    </xf>
    <xf numFmtId="164" fontId="39" fillId="0" borderId="41" xfId="626" applyNumberFormat="1" applyFont="1" applyBorder="1" applyAlignment="1">
      <alignment horizontal="center" vertical="top" wrapText="1"/>
    </xf>
    <xf numFmtId="167" fontId="65" fillId="0" borderId="0" xfId="585" applyNumberFormat="1" applyFont="1" applyAlignment="1">
      <alignment vertical="center" wrapText="1"/>
    </xf>
    <xf numFmtId="167" fontId="15" fillId="0" borderId="25" xfId="585" applyNumberFormat="1" applyFont="1" applyBorder="1" applyAlignment="1">
      <alignment horizontal="center"/>
    </xf>
    <xf numFmtId="167" fontId="17" fillId="0" borderId="25" xfId="585" applyNumberFormat="1" applyFont="1" applyBorder="1" applyAlignment="1">
      <alignment horizontal="center"/>
    </xf>
    <xf numFmtId="167" fontId="38" fillId="0" borderId="0" xfId="585" applyNumberFormat="1" applyFont="1" applyBorder="1" applyAlignment="1">
      <alignment/>
    </xf>
    <xf numFmtId="167" fontId="38" fillId="0" borderId="51" xfId="585" applyNumberFormat="1" applyFont="1" applyBorder="1" applyAlignment="1">
      <alignment horizontal="right"/>
    </xf>
    <xf numFmtId="167" fontId="38" fillId="0" borderId="58" xfId="585" applyNumberFormat="1" applyFont="1" applyBorder="1" applyAlignment="1">
      <alignment horizontal="center"/>
    </xf>
    <xf numFmtId="167" fontId="38" fillId="0" borderId="50" xfId="585" applyNumberFormat="1" applyFont="1" applyBorder="1" applyAlignment="1">
      <alignment horizontal="right"/>
    </xf>
    <xf numFmtId="167" fontId="38" fillId="0" borderId="25" xfId="585" applyNumberFormat="1" applyFont="1" applyBorder="1" applyAlignment="1">
      <alignment horizontal="right"/>
    </xf>
    <xf numFmtId="164" fontId="38" fillId="0" borderId="25" xfId="626" applyNumberFormat="1" applyFont="1" applyBorder="1" applyAlignment="1">
      <alignment/>
    </xf>
    <xf numFmtId="167" fontId="64" fillId="0" borderId="0" xfId="585" applyNumberFormat="1" applyFont="1" applyBorder="1" applyAlignment="1">
      <alignment/>
    </xf>
    <xf numFmtId="167" fontId="38" fillId="0" borderId="0" xfId="585" applyNumberFormat="1" applyFont="1" applyBorder="1" applyAlignment="1">
      <alignment horizontal="left"/>
    </xf>
    <xf numFmtId="167" fontId="38" fillId="0" borderId="26" xfId="585" applyNumberFormat="1" applyFont="1" applyBorder="1" applyAlignment="1">
      <alignment horizontal="right"/>
    </xf>
    <xf numFmtId="167" fontId="38" fillId="0" borderId="0" xfId="585" applyNumberFormat="1" applyFont="1" applyBorder="1" applyAlignment="1">
      <alignment horizontal="center"/>
    </xf>
    <xf numFmtId="167" fontId="38" fillId="0" borderId="25" xfId="585" applyNumberFormat="1" applyFont="1" applyBorder="1" applyAlignment="1">
      <alignment/>
    </xf>
    <xf numFmtId="6" fontId="63" fillId="0" borderId="0" xfId="619" applyNumberFormat="1" applyFont="1" applyBorder="1" applyAlignment="1">
      <alignment/>
    </xf>
    <xf numFmtId="167" fontId="63" fillId="0" borderId="0" xfId="585" applyNumberFormat="1" applyFont="1" applyAlignment="1">
      <alignment/>
    </xf>
    <xf numFmtId="164" fontId="5" fillId="0" borderId="25" xfId="626" applyNumberFormat="1" applyFont="1" applyBorder="1" applyAlignment="1">
      <alignment/>
    </xf>
    <xf numFmtId="6" fontId="64" fillId="0" borderId="0" xfId="619" applyNumberFormat="1" applyFont="1" applyBorder="1" applyAlignment="1">
      <alignment/>
    </xf>
    <xf numFmtId="164" fontId="5" fillId="0" borderId="25" xfId="626" applyNumberFormat="1" applyFont="1" applyBorder="1" applyAlignment="1">
      <alignment vertical="center"/>
    </xf>
    <xf numFmtId="6" fontId="64" fillId="0" borderId="0" xfId="619" applyNumberFormat="1" applyFont="1" applyBorder="1" applyAlignment="1">
      <alignment vertical="center"/>
    </xf>
    <xf numFmtId="167" fontId="64" fillId="0" borderId="0" xfId="585" applyNumberFormat="1" applyFont="1" applyAlignment="1">
      <alignment vertical="center"/>
    </xf>
    <xf numFmtId="6" fontId="66" fillId="0" borderId="0" xfId="619" applyNumberFormat="1" applyFont="1" applyBorder="1" applyAlignment="1">
      <alignment/>
    </xf>
    <xf numFmtId="167" fontId="66" fillId="0" borderId="0" xfId="585" applyNumberFormat="1" applyFont="1" applyAlignment="1">
      <alignment/>
    </xf>
    <xf numFmtId="6" fontId="64" fillId="0" borderId="0" xfId="619" applyNumberFormat="1" applyFont="1" applyBorder="1" applyAlignment="1">
      <alignment vertical="center"/>
    </xf>
    <xf numFmtId="164" fontId="5" fillId="0" borderId="25" xfId="626" applyNumberFormat="1" applyFont="1" applyBorder="1" applyAlignment="1">
      <alignment/>
    </xf>
    <xf numFmtId="6" fontId="64" fillId="0" borderId="0" xfId="619" applyNumberFormat="1" applyFont="1" applyBorder="1" applyAlignment="1">
      <alignment/>
    </xf>
    <xf numFmtId="164" fontId="5" fillId="0" borderId="25" xfId="626" applyNumberFormat="1" applyFont="1" applyBorder="1" applyAlignment="1">
      <alignment vertical="center"/>
    </xf>
    <xf numFmtId="164" fontId="39" fillId="0" borderId="25" xfId="626" applyNumberFormat="1" applyFont="1" applyBorder="1" applyAlignment="1">
      <alignment/>
    </xf>
    <xf numFmtId="6" fontId="63" fillId="0" borderId="33" xfId="619" applyNumberFormat="1" applyFont="1" applyBorder="1" applyAlignment="1">
      <alignment/>
    </xf>
    <xf numFmtId="167" fontId="65" fillId="0" borderId="0" xfId="585" applyNumberFormat="1" applyFont="1" applyAlignment="1">
      <alignment/>
    </xf>
    <xf numFmtId="164" fontId="62" fillId="0" borderId="25" xfId="626" applyNumberFormat="1" applyFont="1" applyBorder="1" applyAlignment="1">
      <alignment/>
    </xf>
    <xf numFmtId="6" fontId="68" fillId="0" borderId="0" xfId="619" applyNumberFormat="1" applyFont="1" applyBorder="1" applyAlignment="1">
      <alignment/>
    </xf>
    <xf numFmtId="167" fontId="68" fillId="0" borderId="0" xfId="585" applyNumberFormat="1" applyFont="1" applyAlignment="1">
      <alignment/>
    </xf>
    <xf numFmtId="6" fontId="65" fillId="0" borderId="0" xfId="619" applyNumberFormat="1" applyFont="1" applyBorder="1" applyAlignment="1">
      <alignment/>
    </xf>
    <xf numFmtId="6" fontId="63" fillId="0" borderId="0" xfId="619" applyNumberFormat="1" applyFont="1" applyBorder="1" applyAlignment="1">
      <alignment/>
    </xf>
    <xf numFmtId="167" fontId="64" fillId="0" borderId="0" xfId="585" applyNumberFormat="1" applyFont="1" applyAlignment="1">
      <alignment/>
    </xf>
    <xf numFmtId="167" fontId="63" fillId="0" borderId="0" xfId="585" applyNumberFormat="1" applyFont="1" applyAlignment="1">
      <alignment/>
    </xf>
    <xf numFmtId="164" fontId="5" fillId="0" borderId="50" xfId="626" applyNumberFormat="1" applyFont="1" applyBorder="1" applyAlignment="1">
      <alignment/>
    </xf>
    <xf numFmtId="164" fontId="41" fillId="0" borderId="25" xfId="626" applyNumberFormat="1" applyFont="1" applyBorder="1" applyAlignment="1">
      <alignment/>
    </xf>
    <xf numFmtId="6" fontId="67" fillId="0" borderId="0" xfId="619" applyNumberFormat="1" applyFont="1" applyBorder="1" applyAlignment="1">
      <alignment/>
    </xf>
    <xf numFmtId="167" fontId="67" fillId="0" borderId="0" xfId="585" applyNumberFormat="1" applyFont="1" applyAlignment="1">
      <alignment/>
    </xf>
    <xf numFmtId="164" fontId="5" fillId="0" borderId="41" xfId="626" applyNumberFormat="1" applyFont="1" applyBorder="1" applyAlignment="1">
      <alignment/>
    </xf>
    <xf numFmtId="164" fontId="41" fillId="0" borderId="20" xfId="626" applyNumberFormat="1" applyFont="1" applyBorder="1" applyAlignment="1">
      <alignment/>
    </xf>
    <xf numFmtId="164" fontId="41" fillId="0" borderId="50" xfId="626" applyNumberFormat="1" applyFont="1" applyBorder="1" applyAlignment="1">
      <alignment/>
    </xf>
    <xf numFmtId="167" fontId="67" fillId="0" borderId="0" xfId="585" applyNumberFormat="1" applyFont="1" applyAlignment="1">
      <alignment vertical="center"/>
    </xf>
    <xf numFmtId="3" fontId="1" fillId="0" borderId="25" xfId="611" applyNumberFormat="1" applyFont="1" applyBorder="1" applyAlignment="1">
      <alignment horizontal="center" vertical="center"/>
      <protection/>
    </xf>
    <xf numFmtId="3" fontId="1" fillId="0" borderId="0" xfId="611" applyNumberFormat="1" applyFont="1" applyBorder="1" applyAlignment="1">
      <alignment horizontal="left" wrapText="1"/>
      <protection/>
    </xf>
    <xf numFmtId="3" fontId="1" fillId="0" borderId="26" xfId="611" applyNumberFormat="1" applyFont="1" applyBorder="1" applyAlignment="1">
      <alignment horizontal="center" wrapText="1"/>
      <protection/>
    </xf>
    <xf numFmtId="3" fontId="1" fillId="0" borderId="0" xfId="611" applyNumberFormat="1" applyFont="1" applyBorder="1" applyAlignment="1">
      <alignment horizontal="center" wrapText="1"/>
      <protection/>
    </xf>
    <xf numFmtId="3" fontId="1" fillId="0" borderId="38" xfId="611" applyNumberFormat="1" applyFont="1" applyBorder="1" applyAlignment="1">
      <alignment horizontal="right" wrapText="1"/>
      <protection/>
    </xf>
    <xf numFmtId="165" fontId="1" fillId="0" borderId="0" xfId="611" applyNumberFormat="1" applyFont="1" applyBorder="1" applyAlignment="1">
      <alignment horizontal="center" wrapText="1"/>
      <protection/>
    </xf>
    <xf numFmtId="3" fontId="1" fillId="0" borderId="0" xfId="611" applyNumberFormat="1" applyFont="1" applyBorder="1" applyAlignment="1">
      <alignment horizontal="right" wrapText="1"/>
      <protection/>
    </xf>
    <xf numFmtId="3" fontId="1" fillId="0" borderId="25" xfId="611" applyNumberFormat="1" applyFont="1" applyBorder="1" applyAlignment="1">
      <alignment horizontal="right"/>
      <protection/>
    </xf>
    <xf numFmtId="3" fontId="1" fillId="0" borderId="0" xfId="611" applyNumberFormat="1" applyFont="1" applyAlignment="1">
      <alignment/>
      <protection/>
    </xf>
    <xf numFmtId="3" fontId="1" fillId="0" borderId="25" xfId="611" applyNumberFormat="1" applyFont="1" applyBorder="1" applyAlignment="1">
      <alignment horizontal="center"/>
      <protection/>
    </xf>
    <xf numFmtId="3" fontId="70" fillId="0" borderId="0" xfId="611" applyNumberFormat="1" applyFont="1" applyBorder="1" applyAlignment="1">
      <alignment horizontal="left"/>
      <protection/>
    </xf>
    <xf numFmtId="3" fontId="70" fillId="0" borderId="26" xfId="611" applyNumberFormat="1" applyFont="1" applyBorder="1" applyAlignment="1">
      <alignment horizontal="center" wrapText="1"/>
      <protection/>
    </xf>
    <xf numFmtId="3" fontId="70" fillId="0" borderId="0" xfId="611" applyNumberFormat="1" applyFont="1" applyBorder="1" applyAlignment="1">
      <alignment horizontal="center" wrapText="1"/>
      <protection/>
    </xf>
    <xf numFmtId="3" fontId="70" fillId="0" borderId="38" xfId="611" applyNumberFormat="1" applyFont="1" applyBorder="1" applyAlignment="1">
      <alignment horizontal="center" wrapText="1"/>
      <protection/>
    </xf>
    <xf numFmtId="165" fontId="70" fillId="0" borderId="0" xfId="611" applyNumberFormat="1" applyFont="1" applyBorder="1" applyAlignment="1">
      <alignment horizontal="center" wrapText="1"/>
      <protection/>
    </xf>
    <xf numFmtId="3" fontId="70" fillId="0" borderId="0" xfId="611" applyNumberFormat="1" applyFont="1" applyBorder="1" applyAlignment="1">
      <alignment horizontal="right" wrapText="1"/>
      <protection/>
    </xf>
    <xf numFmtId="3" fontId="70" fillId="0" borderId="25" xfId="611" applyNumberFormat="1" applyFont="1" applyBorder="1" applyAlignment="1">
      <alignment horizontal="right"/>
      <protection/>
    </xf>
    <xf numFmtId="3" fontId="70" fillId="0" borderId="0" xfId="611" applyNumberFormat="1" applyFont="1" applyAlignment="1">
      <alignment/>
      <protection/>
    </xf>
    <xf numFmtId="3" fontId="78" fillId="0" borderId="0" xfId="611" applyNumberFormat="1" applyFont="1" applyBorder="1" applyAlignment="1">
      <alignment horizontal="left"/>
      <protection/>
    </xf>
    <xf numFmtId="3" fontId="20" fillId="0" borderId="0" xfId="611" applyNumberFormat="1" applyFont="1" applyBorder="1" applyAlignment="1">
      <alignment horizontal="left"/>
      <protection/>
    </xf>
    <xf numFmtId="3" fontId="20" fillId="0" borderId="0" xfId="611" applyNumberFormat="1" applyFont="1" applyBorder="1">
      <alignment/>
      <protection/>
    </xf>
    <xf numFmtId="3" fontId="20" fillId="0" borderId="0" xfId="611" applyNumberFormat="1" applyFont="1" applyBorder="1" applyAlignment="1">
      <alignment horizontal="right" wrapText="1"/>
      <protection/>
    </xf>
    <xf numFmtId="3" fontId="20" fillId="0" borderId="26" xfId="611" applyNumberFormat="1" applyFont="1" applyBorder="1">
      <alignment/>
      <protection/>
    </xf>
    <xf numFmtId="3" fontId="20" fillId="0" borderId="38" xfId="611" applyNumberFormat="1" applyFont="1" applyBorder="1">
      <alignment/>
      <protection/>
    </xf>
    <xf numFmtId="165" fontId="20" fillId="0" borderId="0" xfId="611" applyNumberFormat="1" applyFont="1" applyBorder="1">
      <alignment/>
      <protection/>
    </xf>
    <xf numFmtId="3" fontId="20" fillId="0" borderId="0" xfId="611" applyNumberFormat="1" applyFont="1">
      <alignment/>
      <protection/>
    </xf>
    <xf numFmtId="3" fontId="1" fillId="0" borderId="41" xfId="611" applyNumberFormat="1" applyFont="1" applyBorder="1" applyAlignment="1">
      <alignment horizontal="center"/>
      <protection/>
    </xf>
    <xf numFmtId="3" fontId="20" fillId="0" borderId="48" xfId="611" applyNumberFormat="1" applyFont="1" applyBorder="1">
      <alignment/>
      <protection/>
    </xf>
    <xf numFmtId="3" fontId="20" fillId="0" borderId="42" xfId="611" applyNumberFormat="1" applyFont="1" applyBorder="1">
      <alignment/>
      <protection/>
    </xf>
    <xf numFmtId="3" fontId="20" fillId="0" borderId="46" xfId="611" applyNumberFormat="1" applyFont="1" applyBorder="1">
      <alignment/>
      <protection/>
    </xf>
    <xf numFmtId="165" fontId="20" fillId="0" borderId="48" xfId="611" applyNumberFormat="1" applyFont="1" applyBorder="1">
      <alignment/>
      <protection/>
    </xf>
    <xf numFmtId="3" fontId="70" fillId="0" borderId="41" xfId="611" applyNumberFormat="1" applyFont="1" applyBorder="1" applyAlignment="1">
      <alignment horizontal="right"/>
      <protection/>
    </xf>
    <xf numFmtId="3" fontId="20" fillId="0" borderId="0" xfId="611" applyNumberFormat="1" applyFont="1" applyBorder="1" applyAlignment="1">
      <alignment horizontal="right"/>
      <protection/>
    </xf>
    <xf numFmtId="3" fontId="1" fillId="0" borderId="0" xfId="611" applyNumberFormat="1" applyFont="1" applyBorder="1">
      <alignment/>
      <protection/>
    </xf>
    <xf numFmtId="3" fontId="20" fillId="0" borderId="0" xfId="611" applyNumberFormat="1" applyFont="1" applyBorder="1">
      <alignment/>
      <protection/>
    </xf>
    <xf numFmtId="3" fontId="20" fillId="0" borderId="26" xfId="611" applyNumberFormat="1" applyFont="1" applyBorder="1">
      <alignment/>
      <protection/>
    </xf>
    <xf numFmtId="3" fontId="20" fillId="0" borderId="25" xfId="611" applyNumberFormat="1" applyFont="1" applyBorder="1">
      <alignment/>
      <protection/>
    </xf>
    <xf numFmtId="3" fontId="4" fillId="0" borderId="0" xfId="609" applyNumberFormat="1" applyFont="1">
      <alignment/>
      <protection/>
    </xf>
    <xf numFmtId="3" fontId="26" fillId="0" borderId="0" xfId="609" applyNumberFormat="1" applyFont="1" applyAlignment="1">
      <alignment horizontal="centerContinuous" vertical="center"/>
      <protection/>
    </xf>
    <xf numFmtId="3" fontId="26" fillId="0" borderId="0" xfId="609" applyNumberFormat="1" applyFont="1" applyAlignment="1">
      <alignment horizontal="centerContinuous" vertical="top"/>
      <protection/>
    </xf>
    <xf numFmtId="3" fontId="28" fillId="0" borderId="0" xfId="609" applyNumberFormat="1" applyFont="1" applyAlignment="1">
      <alignment horizontal="centerContinuous" vertical="center"/>
      <protection/>
    </xf>
    <xf numFmtId="3" fontId="18" fillId="0" borderId="0" xfId="609" applyNumberFormat="1" applyFont="1" applyAlignment="1">
      <alignment horizontal="centerContinuous" vertical="center"/>
      <protection/>
    </xf>
    <xf numFmtId="3" fontId="80" fillId="0" borderId="21" xfId="609" applyNumberFormat="1" applyFont="1" applyBorder="1" applyAlignment="1">
      <alignment horizontal="center" vertical="center"/>
      <protection/>
    </xf>
    <xf numFmtId="3" fontId="80" fillId="0" borderId="20" xfId="609" applyNumberFormat="1" applyFont="1" applyBorder="1" applyAlignment="1">
      <alignment horizontal="center" vertical="center"/>
      <protection/>
    </xf>
    <xf numFmtId="3" fontId="81" fillId="0" borderId="48" xfId="609" applyNumberFormat="1" applyFont="1" applyBorder="1" applyAlignment="1">
      <alignment horizontal="centerContinuous" vertical="center" wrapText="1"/>
      <protection/>
    </xf>
    <xf numFmtId="3" fontId="4" fillId="0" borderId="0" xfId="609" applyNumberFormat="1" applyFont="1" applyBorder="1">
      <alignment/>
      <protection/>
    </xf>
    <xf numFmtId="3" fontId="4" fillId="0" borderId="48" xfId="609" applyNumberFormat="1" applyFont="1" applyBorder="1">
      <alignment/>
      <protection/>
    </xf>
    <xf numFmtId="3" fontId="4" fillId="0" borderId="58" xfId="609" applyNumberFormat="1" applyFont="1" applyBorder="1">
      <alignment/>
      <protection/>
    </xf>
    <xf numFmtId="3" fontId="82" fillId="0" borderId="21" xfId="609" applyNumberFormat="1" applyFont="1" applyBorder="1" applyAlignment="1">
      <alignment vertical="center"/>
      <protection/>
    </xf>
    <xf numFmtId="3" fontId="80" fillId="0" borderId="0" xfId="609" applyNumberFormat="1" applyFont="1" applyBorder="1" applyAlignment="1">
      <alignment horizontal="center"/>
      <protection/>
    </xf>
    <xf numFmtId="0" fontId="1" fillId="0" borderId="0" xfId="611" applyFont="1">
      <alignment/>
      <protection/>
    </xf>
    <xf numFmtId="3" fontId="80" fillId="0" borderId="0" xfId="609" applyNumberFormat="1" applyFont="1" applyBorder="1" applyAlignment="1">
      <alignment horizontal="center" vertical="center"/>
      <protection/>
    </xf>
    <xf numFmtId="3" fontId="80" fillId="0" borderId="0" xfId="609" applyNumberFormat="1" applyFont="1" applyBorder="1" applyAlignment="1">
      <alignment horizontal="center" vertical="top"/>
      <protection/>
    </xf>
    <xf numFmtId="3" fontId="80" fillId="0" borderId="24" xfId="609" applyNumberFormat="1" applyFont="1" applyBorder="1" applyAlignment="1">
      <alignment horizontal="center" vertical="center"/>
      <protection/>
    </xf>
    <xf numFmtId="3" fontId="80" fillId="0" borderId="20" xfId="609" applyNumberFormat="1" applyFont="1" applyBorder="1" applyAlignment="1">
      <alignment horizontal="center" vertical="center" wrapText="1"/>
      <protection/>
    </xf>
    <xf numFmtId="3" fontId="81" fillId="0" borderId="42" xfId="609" applyNumberFormat="1" applyFont="1" applyBorder="1" applyAlignment="1">
      <alignment horizontal="centerContinuous" vertical="center" wrapText="1"/>
      <protection/>
    </xf>
    <xf numFmtId="3" fontId="80" fillId="0" borderId="25" xfId="609" applyNumberFormat="1" applyFont="1" applyBorder="1" applyAlignment="1">
      <alignment horizontal="center"/>
      <protection/>
    </xf>
    <xf numFmtId="3" fontId="83" fillId="0" borderId="0" xfId="609" applyNumberFormat="1" applyFont="1" applyBorder="1" applyAlignment="1">
      <alignment wrapText="1"/>
      <protection/>
    </xf>
    <xf numFmtId="3" fontId="4" fillId="0" borderId="0" xfId="609" applyNumberFormat="1" applyFont="1" applyBorder="1" applyAlignment="1">
      <alignment wrapText="1"/>
      <protection/>
    </xf>
    <xf numFmtId="3" fontId="80" fillId="0" borderId="41" xfId="609" applyNumberFormat="1" applyFont="1" applyBorder="1" applyAlignment="1">
      <alignment horizontal="center"/>
      <protection/>
    </xf>
    <xf numFmtId="3" fontId="4" fillId="0" borderId="48" xfId="609" applyNumberFormat="1" applyFont="1" applyBorder="1" applyAlignment="1">
      <alignment wrapText="1"/>
      <protection/>
    </xf>
    <xf numFmtId="3" fontId="80" fillId="0" borderId="26" xfId="609" applyNumberFormat="1" applyFont="1" applyBorder="1" applyAlignment="1">
      <alignment horizontal="center"/>
      <protection/>
    </xf>
    <xf numFmtId="3" fontId="4" fillId="0" borderId="26" xfId="609" applyNumberFormat="1" applyFont="1" applyBorder="1" applyAlignment="1">
      <alignment wrapText="1"/>
      <protection/>
    </xf>
    <xf numFmtId="3" fontId="80" fillId="0" borderId="42" xfId="609" applyNumberFormat="1" applyFont="1" applyBorder="1" applyAlignment="1">
      <alignment horizontal="center"/>
      <protection/>
    </xf>
    <xf numFmtId="3" fontId="4" fillId="0" borderId="42" xfId="609" applyNumberFormat="1" applyFont="1" applyBorder="1" applyAlignment="1">
      <alignment wrapText="1"/>
      <protection/>
    </xf>
    <xf numFmtId="3" fontId="80" fillId="0" borderId="50" xfId="609" applyNumberFormat="1" applyFont="1" applyBorder="1" applyAlignment="1">
      <alignment horizontal="center"/>
      <protection/>
    </xf>
    <xf numFmtId="3" fontId="83" fillId="0" borderId="58" xfId="609" applyNumberFormat="1" applyFont="1" applyBorder="1" applyAlignment="1">
      <alignment wrapText="1"/>
      <protection/>
    </xf>
    <xf numFmtId="3" fontId="82" fillId="0" borderId="21" xfId="609" applyNumberFormat="1" applyFont="1" applyBorder="1" applyAlignment="1">
      <alignment vertical="center" wrapText="1"/>
      <protection/>
    </xf>
    <xf numFmtId="3" fontId="22" fillId="0" borderId="26" xfId="608" applyNumberFormat="1" applyFont="1" applyFill="1" applyBorder="1" applyAlignment="1">
      <alignment wrapText="1"/>
      <protection/>
    </xf>
    <xf numFmtId="3" fontId="84" fillId="0" borderId="26" xfId="622" applyNumberFormat="1" applyFont="1" applyFill="1" applyBorder="1" applyAlignment="1">
      <alignment wrapText="1"/>
      <protection/>
    </xf>
    <xf numFmtId="6" fontId="84" fillId="0" borderId="0" xfId="101" applyNumberFormat="1" applyFont="1" applyFill="1" applyAlignment="1">
      <alignment vertical="center" wrapText="1"/>
      <protection/>
    </xf>
    <xf numFmtId="6" fontId="37" fillId="0" borderId="26" xfId="101" applyNumberFormat="1" applyFont="1" applyFill="1" applyBorder="1" applyAlignment="1">
      <alignment wrapText="1"/>
      <protection/>
    </xf>
    <xf numFmtId="6" fontId="84" fillId="0" borderId="26" xfId="101" applyNumberFormat="1" applyFont="1" applyFill="1" applyBorder="1" applyAlignment="1">
      <alignment wrapText="1"/>
      <protection/>
    </xf>
    <xf numFmtId="6" fontId="23" fillId="0" borderId="26" xfId="101" applyNumberFormat="1" applyFont="1" applyFill="1" applyBorder="1" applyAlignment="1">
      <alignment wrapText="1"/>
      <protection/>
    </xf>
    <xf numFmtId="3" fontId="37" fillId="0" borderId="26" xfId="622" applyNumberFormat="1" applyFont="1" applyFill="1" applyBorder="1" applyAlignment="1">
      <alignment wrapText="1"/>
      <protection/>
    </xf>
    <xf numFmtId="3" fontId="23" fillId="0" borderId="26" xfId="622" applyNumberFormat="1" applyFont="1" applyFill="1" applyBorder="1" applyAlignment="1">
      <alignment wrapText="1"/>
      <protection/>
    </xf>
    <xf numFmtId="3" fontId="37" fillId="0" borderId="26" xfId="622" applyNumberFormat="1" applyFont="1" applyFill="1" applyBorder="1" applyAlignment="1">
      <alignment wrapText="1"/>
      <protection/>
    </xf>
    <xf numFmtId="6" fontId="84" fillId="0" borderId="0" xfId="101" applyNumberFormat="1" applyFont="1" applyFill="1" applyBorder="1" applyAlignment="1">
      <alignment wrapText="1"/>
      <protection/>
    </xf>
    <xf numFmtId="6" fontId="84" fillId="0" borderId="0" xfId="101" applyNumberFormat="1" applyFont="1" applyFill="1" applyAlignment="1">
      <alignment vertical="center" wrapText="1"/>
      <protection/>
    </xf>
    <xf numFmtId="0" fontId="84" fillId="0" borderId="0" xfId="0" applyFont="1" applyAlignment="1">
      <alignment vertical="center" wrapText="1"/>
    </xf>
    <xf numFmtId="6" fontId="84" fillId="0" borderId="0" xfId="101" applyNumberFormat="1" applyFont="1" applyFill="1" applyBorder="1" applyAlignment="1">
      <alignment vertical="center" wrapText="1"/>
      <protection/>
    </xf>
    <xf numFmtId="0" fontId="84" fillId="0" borderId="0" xfId="0" applyFont="1" applyAlignment="1">
      <alignment vertical="center" wrapText="1"/>
    </xf>
    <xf numFmtId="6" fontId="84" fillId="0" borderId="0" xfId="101" applyNumberFormat="1" applyFont="1" applyFill="1" applyBorder="1" applyAlignment="1">
      <alignment vertical="center" wrapText="1"/>
      <protection/>
    </xf>
    <xf numFmtId="6" fontId="37" fillId="0" borderId="26" xfId="101" applyNumberFormat="1" applyFont="1" applyFill="1" applyBorder="1" applyAlignment="1">
      <alignment wrapText="1"/>
      <protection/>
    </xf>
    <xf numFmtId="0" fontId="84" fillId="0" borderId="0" xfId="0" applyFont="1" applyBorder="1" applyAlignment="1">
      <alignment vertical="center" wrapText="1"/>
    </xf>
    <xf numFmtId="6" fontId="23" fillId="0" borderId="26" xfId="101" applyNumberFormat="1" applyFont="1" applyFill="1" applyBorder="1" applyAlignment="1">
      <alignment wrapText="1"/>
      <protection/>
    </xf>
    <xf numFmtId="6" fontId="84" fillId="0" borderId="26" xfId="101" applyNumberFormat="1" applyFont="1" applyFill="1" applyBorder="1" applyAlignment="1">
      <alignment horizontal="left" wrapText="1"/>
      <protection/>
    </xf>
    <xf numFmtId="0" fontId="20" fillId="0" borderId="26" xfId="611" applyFont="1" applyBorder="1">
      <alignment/>
      <protection/>
    </xf>
    <xf numFmtId="0" fontId="22" fillId="0" borderId="24" xfId="611" applyFont="1" applyBorder="1" applyAlignment="1">
      <alignment vertical="center"/>
      <protection/>
    </xf>
    <xf numFmtId="3" fontId="84" fillId="0" borderId="0" xfId="0" applyNumberFormat="1" applyFont="1" applyAlignment="1">
      <alignment horizontal="left" wrapText="1"/>
    </xf>
    <xf numFmtId="3" fontId="22" fillId="0" borderId="25" xfId="611" applyNumberFormat="1" applyFont="1" applyBorder="1">
      <alignment/>
      <protection/>
    </xf>
    <xf numFmtId="3" fontId="70" fillId="0" borderId="0" xfId="611" applyNumberFormat="1" applyFont="1" applyBorder="1" applyAlignment="1">
      <alignment/>
      <protection/>
    </xf>
    <xf numFmtId="3" fontId="20" fillId="0" borderId="25" xfId="611" applyNumberFormat="1" applyFont="1" applyBorder="1">
      <alignment/>
      <protection/>
    </xf>
    <xf numFmtId="3" fontId="70" fillId="0" borderId="26" xfId="611" applyNumberFormat="1" applyFont="1" applyBorder="1">
      <alignment/>
      <protection/>
    </xf>
    <xf numFmtId="3" fontId="1" fillId="0" borderId="25" xfId="611" applyNumberFormat="1" applyFont="1" applyBorder="1">
      <alignment/>
      <protection/>
    </xf>
    <xf numFmtId="3" fontId="70" fillId="0" borderId="0" xfId="611" applyNumberFormat="1" applyFont="1" applyBorder="1" applyAlignment="1">
      <alignment/>
      <protection/>
    </xf>
    <xf numFmtId="3" fontId="70" fillId="0" borderId="0" xfId="611" applyNumberFormat="1" applyFont="1" applyBorder="1">
      <alignment/>
      <protection/>
    </xf>
    <xf numFmtId="3" fontId="86" fillId="0" borderId="0" xfId="608" applyNumberFormat="1" applyFont="1" applyBorder="1" applyAlignment="1">
      <alignment vertical="center"/>
      <protection/>
    </xf>
    <xf numFmtId="3" fontId="87" fillId="0" borderId="0" xfId="0" applyNumberFormat="1" applyFont="1" applyAlignment="1">
      <alignment horizontal="left"/>
    </xf>
    <xf numFmtId="3" fontId="1" fillId="0" borderId="0" xfId="611" applyNumberFormat="1" applyFont="1" applyBorder="1">
      <alignment/>
      <protection/>
    </xf>
    <xf numFmtId="3" fontId="70" fillId="0" borderId="0" xfId="611" applyNumberFormat="1" applyFont="1" applyBorder="1">
      <alignment/>
      <protection/>
    </xf>
    <xf numFmtId="6" fontId="84" fillId="0" borderId="0" xfId="101" applyNumberFormat="1" applyFont="1" applyFill="1" applyBorder="1" applyAlignment="1">
      <alignment wrapText="1"/>
      <protection/>
    </xf>
    <xf numFmtId="0" fontId="84" fillId="0" borderId="0" xfId="0" applyFont="1" applyBorder="1" applyAlignment="1">
      <alignment vertical="center" wrapText="1"/>
    </xf>
    <xf numFmtId="3" fontId="1" fillId="0" borderId="51" xfId="611" applyNumberFormat="1" applyFont="1" applyBorder="1" applyAlignment="1">
      <alignment horizontal="center" vertical="center"/>
      <protection/>
    </xf>
    <xf numFmtId="3" fontId="1" fillId="0" borderId="50" xfId="611" applyNumberFormat="1" applyFont="1" applyBorder="1" applyAlignment="1">
      <alignment horizontal="left" vertical="center" wrapText="1"/>
      <protection/>
    </xf>
    <xf numFmtId="3" fontId="1" fillId="0" borderId="26" xfId="611" applyNumberFormat="1" applyFont="1" applyBorder="1" applyAlignment="1">
      <alignment horizontal="center" vertical="center"/>
      <protection/>
    </xf>
    <xf numFmtId="3" fontId="20" fillId="0" borderId="25" xfId="611" applyNumberFormat="1" applyFont="1" applyBorder="1" applyAlignment="1">
      <alignment horizontal="left" vertical="center" wrapText="1"/>
      <protection/>
    </xf>
    <xf numFmtId="3" fontId="1" fillId="0" borderId="0" xfId="611" applyNumberFormat="1" applyFont="1" applyBorder="1" applyAlignment="1">
      <alignment horizontal="right" vertical="center" wrapText="1"/>
      <protection/>
    </xf>
    <xf numFmtId="3" fontId="1" fillId="0" borderId="25" xfId="611" applyNumberFormat="1" applyFont="1" applyBorder="1" applyAlignment="1">
      <alignment horizontal="right" vertical="center"/>
      <protection/>
    </xf>
    <xf numFmtId="3" fontId="1" fillId="0" borderId="0" xfId="611" applyNumberFormat="1" applyFont="1" applyBorder="1" applyAlignment="1">
      <alignment vertical="center"/>
      <protection/>
    </xf>
    <xf numFmtId="4" fontId="20" fillId="0" borderId="0" xfId="611" applyNumberFormat="1" applyFont="1" applyBorder="1" applyAlignment="1">
      <alignment horizontal="center" vertical="center" wrapText="1"/>
      <protection/>
    </xf>
    <xf numFmtId="3" fontId="1" fillId="0" borderId="0" xfId="611" applyNumberFormat="1" applyFont="1" applyBorder="1" applyAlignment="1">
      <alignment horizontal="center" vertical="center" wrapText="1"/>
      <protection/>
    </xf>
    <xf numFmtId="3" fontId="1" fillId="0" borderId="25" xfId="611" applyNumberFormat="1" applyFont="1" applyBorder="1" applyAlignment="1">
      <alignment horizontal="left" vertical="center" wrapText="1"/>
      <protection/>
    </xf>
    <xf numFmtId="3" fontId="1" fillId="0" borderId="26" xfId="611" applyNumberFormat="1" applyFont="1" applyBorder="1" applyAlignment="1">
      <alignment horizontal="center" vertical="center" wrapText="1"/>
      <protection/>
    </xf>
    <xf numFmtId="3" fontId="1" fillId="0" borderId="38" xfId="611" applyNumberFormat="1" applyFont="1" applyBorder="1" applyAlignment="1">
      <alignment horizontal="right" vertical="center" wrapText="1"/>
      <protection/>
    </xf>
    <xf numFmtId="165" fontId="1" fillId="0" borderId="0" xfId="611" applyNumberFormat="1" applyFont="1" applyBorder="1" applyAlignment="1">
      <alignment horizontal="center" vertical="center" wrapText="1"/>
      <protection/>
    </xf>
    <xf numFmtId="3" fontId="1" fillId="0" borderId="42" xfId="611" applyNumberFormat="1" applyFont="1" applyBorder="1" applyAlignment="1">
      <alignment horizontal="center" vertical="center"/>
      <protection/>
    </xf>
    <xf numFmtId="3" fontId="1" fillId="0" borderId="41" xfId="611" applyNumberFormat="1" applyFont="1" applyBorder="1" applyAlignment="1">
      <alignment horizontal="left" vertical="center" wrapText="1"/>
      <protection/>
    </xf>
    <xf numFmtId="3" fontId="1" fillId="0" borderId="42" xfId="611" applyNumberFormat="1" applyFont="1" applyBorder="1" applyAlignment="1">
      <alignment horizontal="center" vertical="center" wrapText="1"/>
      <protection/>
    </xf>
    <xf numFmtId="3" fontId="1" fillId="0" borderId="48" xfId="611" applyNumberFormat="1" applyFont="1" applyBorder="1" applyAlignment="1">
      <alignment horizontal="center" vertical="center" wrapText="1"/>
      <protection/>
    </xf>
    <xf numFmtId="3" fontId="1" fillId="0" borderId="46" xfId="611" applyNumberFormat="1" applyFont="1" applyBorder="1" applyAlignment="1">
      <alignment horizontal="right" vertical="center" wrapText="1"/>
      <protection/>
    </xf>
    <xf numFmtId="165" fontId="1" fillId="0" borderId="48" xfId="611" applyNumberFormat="1" applyFont="1" applyBorder="1" applyAlignment="1">
      <alignment horizontal="center" vertical="center" wrapText="1"/>
      <protection/>
    </xf>
    <xf numFmtId="3" fontId="1" fillId="0" borderId="48" xfId="611" applyNumberFormat="1" applyFont="1" applyBorder="1" applyAlignment="1">
      <alignment horizontal="right" vertical="center" wrapText="1"/>
      <protection/>
    </xf>
    <xf numFmtId="3" fontId="1" fillId="0" borderId="41" xfId="611" applyNumberFormat="1" applyFont="1" applyBorder="1" applyAlignment="1">
      <alignment horizontal="right" vertical="center"/>
      <protection/>
    </xf>
    <xf numFmtId="3" fontId="1" fillId="0" borderId="48" xfId="611" applyNumberFormat="1" applyFont="1" applyBorder="1" applyAlignment="1">
      <alignment vertical="center"/>
      <protection/>
    </xf>
    <xf numFmtId="3" fontId="20" fillId="0" borderId="0" xfId="611" applyNumberFormat="1" applyFont="1" applyBorder="1" applyAlignment="1">
      <alignment wrapText="1"/>
      <protection/>
    </xf>
    <xf numFmtId="3" fontId="20" fillId="0" borderId="0" xfId="611" applyNumberFormat="1" applyFont="1" applyBorder="1" applyAlignment="1">
      <alignment wrapText="1"/>
      <protection/>
    </xf>
    <xf numFmtId="0" fontId="84" fillId="0" borderId="0" xfId="0" applyFont="1" applyBorder="1" applyAlignment="1">
      <alignment horizontal="left" vertical="center"/>
    </xf>
    <xf numFmtId="3" fontId="1" fillId="0" borderId="0" xfId="611" applyNumberFormat="1" applyFont="1" applyBorder="1" applyAlignment="1">
      <alignment/>
      <protection/>
    </xf>
    <xf numFmtId="3" fontId="20" fillId="0" borderId="0" xfId="611" applyNumberFormat="1" applyFont="1" applyBorder="1" applyAlignment="1">
      <alignment/>
      <protection/>
    </xf>
    <xf numFmtId="6" fontId="88" fillId="0" borderId="0" xfId="101" applyNumberFormat="1" applyFont="1" applyFill="1" applyBorder="1" applyAlignment="1">
      <alignment vertical="center" wrapText="1"/>
      <protection/>
    </xf>
    <xf numFmtId="3" fontId="1" fillId="0" borderId="26" xfId="611" applyNumberFormat="1" applyFont="1" applyBorder="1" applyAlignment="1">
      <alignment horizontal="left" wrapText="1"/>
      <protection/>
    </xf>
    <xf numFmtId="3" fontId="20" fillId="0" borderId="38" xfId="611" applyNumberFormat="1" applyFont="1" applyBorder="1" applyAlignment="1">
      <alignment horizontal="left" wrapText="1"/>
      <protection/>
    </xf>
    <xf numFmtId="0" fontId="88" fillId="0" borderId="0" xfId="0" applyFont="1" applyBorder="1" applyAlignment="1">
      <alignment vertical="center" wrapText="1"/>
    </xf>
    <xf numFmtId="3" fontId="1" fillId="0" borderId="25" xfId="611" applyNumberFormat="1" applyFont="1" applyBorder="1">
      <alignment/>
      <protection/>
    </xf>
    <xf numFmtId="3" fontId="40" fillId="0" borderId="0" xfId="611" applyNumberFormat="1" applyFont="1" applyBorder="1">
      <alignment/>
      <protection/>
    </xf>
    <xf numFmtId="3" fontId="1" fillId="0" borderId="26" xfId="611" applyNumberFormat="1" applyFont="1" applyBorder="1">
      <alignment/>
      <protection/>
    </xf>
    <xf numFmtId="3" fontId="20" fillId="0" borderId="25" xfId="611" applyNumberFormat="1" applyFont="1" applyBorder="1" applyAlignment="1">
      <alignment/>
      <protection/>
    </xf>
    <xf numFmtId="3" fontId="20" fillId="0" borderId="26" xfId="611" applyNumberFormat="1" applyFont="1" applyBorder="1" applyAlignment="1">
      <alignment/>
      <protection/>
    </xf>
    <xf numFmtId="3" fontId="88" fillId="0" borderId="0" xfId="611" applyNumberFormat="1" applyFont="1" applyBorder="1">
      <alignment/>
      <protection/>
    </xf>
    <xf numFmtId="3" fontId="79" fillId="0" borderId="0" xfId="611" applyNumberFormat="1" applyFont="1" applyBorder="1">
      <alignment/>
      <protection/>
    </xf>
    <xf numFmtId="3" fontId="20" fillId="0" borderId="0" xfId="611" applyNumberFormat="1" applyFont="1" applyBorder="1" applyAlignment="1">
      <alignment/>
      <protection/>
    </xf>
    <xf numFmtId="3" fontId="79" fillId="0" borderId="0" xfId="611" applyNumberFormat="1" applyFont="1" applyBorder="1" applyAlignment="1">
      <alignment wrapText="1"/>
      <protection/>
    </xf>
    <xf numFmtId="3" fontId="79" fillId="0" borderId="25" xfId="611" applyNumberFormat="1" applyFont="1" applyBorder="1">
      <alignment/>
      <protection/>
    </xf>
    <xf numFmtId="3" fontId="79" fillId="0" borderId="26" xfId="611" applyNumberFormat="1" applyFont="1" applyBorder="1">
      <alignment/>
      <protection/>
    </xf>
    <xf numFmtId="6" fontId="20" fillId="0" borderId="0" xfId="101" applyNumberFormat="1" applyFont="1" applyFill="1" applyAlignment="1">
      <alignment wrapText="1"/>
      <protection/>
    </xf>
    <xf numFmtId="3" fontId="70" fillId="0" borderId="48" xfId="611" applyNumberFormat="1" applyFont="1" applyBorder="1" applyAlignment="1">
      <alignment/>
      <protection/>
    </xf>
    <xf numFmtId="3" fontId="84" fillId="0" borderId="48" xfId="0" applyNumberFormat="1" applyFont="1" applyBorder="1" applyAlignment="1">
      <alignment horizontal="left" wrapText="1"/>
    </xf>
    <xf numFmtId="3" fontId="20" fillId="0" borderId="41" xfId="611" applyNumberFormat="1" applyFont="1" applyBorder="1">
      <alignment/>
      <protection/>
    </xf>
    <xf numFmtId="3" fontId="70" fillId="0" borderId="42" xfId="611" applyNumberFormat="1" applyFont="1" applyBorder="1">
      <alignment/>
      <protection/>
    </xf>
    <xf numFmtId="3" fontId="1" fillId="0" borderId="41" xfId="611" applyNumberFormat="1" applyFont="1" applyBorder="1">
      <alignment/>
      <protection/>
    </xf>
    <xf numFmtId="3" fontId="89" fillId="0" borderId="0" xfId="611" applyNumberFormat="1" applyFont="1" applyBorder="1">
      <alignment/>
      <protection/>
    </xf>
    <xf numFmtId="3" fontId="89" fillId="0" borderId="60" xfId="611" applyNumberFormat="1" applyFont="1" applyBorder="1">
      <alignment/>
      <protection/>
    </xf>
    <xf numFmtId="3" fontId="22" fillId="0" borderId="25" xfId="611" applyNumberFormat="1" applyFont="1" applyBorder="1">
      <alignment/>
      <protection/>
    </xf>
    <xf numFmtId="3" fontId="30" fillId="0" borderId="0" xfId="611" applyNumberFormat="1" applyFont="1">
      <alignment/>
      <protection/>
    </xf>
    <xf numFmtId="0" fontId="84" fillId="0" borderId="0" xfId="0" applyFont="1" applyAlignment="1">
      <alignment wrapText="1"/>
    </xf>
    <xf numFmtId="3" fontId="1" fillId="0" borderId="25" xfId="611" applyNumberFormat="1" applyFont="1" applyBorder="1" applyAlignment="1">
      <alignment/>
      <protection/>
    </xf>
    <xf numFmtId="3" fontId="17" fillId="0" borderId="20" xfId="611" applyNumberFormat="1" applyFont="1" applyBorder="1" applyAlignment="1">
      <alignment horizontal="center" vertical="center"/>
      <protection/>
    </xf>
    <xf numFmtId="3" fontId="71" fillId="0" borderId="0" xfId="611" applyNumberFormat="1" applyFont="1" applyBorder="1" applyAlignment="1">
      <alignment horizontal="center"/>
      <protection/>
    </xf>
    <xf numFmtId="3" fontId="71" fillId="0" borderId="0" xfId="611" applyNumberFormat="1" applyFont="1" applyAlignment="1">
      <alignment horizontal="center"/>
      <protection/>
    </xf>
    <xf numFmtId="3" fontId="71" fillId="0" borderId="20" xfId="611" applyNumberFormat="1" applyFont="1" applyBorder="1" applyAlignment="1">
      <alignment horizontal="center"/>
      <protection/>
    </xf>
    <xf numFmtId="3" fontId="71" fillId="0" borderId="20" xfId="611" applyNumberFormat="1" applyFont="1" applyBorder="1" applyAlignment="1">
      <alignment horizontal="center" wrapText="1"/>
      <protection/>
    </xf>
    <xf numFmtId="3" fontId="71" fillId="0" borderId="25" xfId="611" applyNumberFormat="1" applyFont="1" applyBorder="1" applyAlignment="1">
      <alignment horizontal="center"/>
      <protection/>
    </xf>
    <xf numFmtId="3" fontId="71" fillId="0" borderId="41" xfId="611" applyNumberFormat="1" applyFont="1" applyBorder="1" applyAlignment="1">
      <alignment horizontal="center"/>
      <protection/>
    </xf>
    <xf numFmtId="3" fontId="71" fillId="0" borderId="25" xfId="611" applyNumberFormat="1" applyFont="1" applyBorder="1" applyAlignment="1">
      <alignment horizontal="center" vertical="top"/>
      <protection/>
    </xf>
    <xf numFmtId="3" fontId="90" fillId="0" borderId="25" xfId="611" applyNumberFormat="1" applyFont="1" applyBorder="1" applyAlignment="1">
      <alignment horizontal="center"/>
      <protection/>
    </xf>
    <xf numFmtId="3" fontId="71" fillId="0" borderId="20" xfId="611" applyNumberFormat="1" applyFont="1" applyBorder="1" applyAlignment="1">
      <alignment horizontal="center" vertical="center"/>
      <protection/>
    </xf>
    <xf numFmtId="3" fontId="17" fillId="0" borderId="24" xfId="611" applyNumberFormat="1" applyFont="1" applyBorder="1" applyAlignment="1">
      <alignment horizontal="center" vertical="center"/>
      <protection/>
    </xf>
    <xf numFmtId="3" fontId="17" fillId="0" borderId="0" xfId="611" applyNumberFormat="1" applyFont="1" applyAlignment="1">
      <alignment horizontal="center" vertical="center"/>
      <protection/>
    </xf>
    <xf numFmtId="3" fontId="22" fillId="0" borderId="0" xfId="611" applyNumberFormat="1" applyFont="1" applyBorder="1">
      <alignment/>
      <protection/>
    </xf>
    <xf numFmtId="3" fontId="71" fillId="0" borderId="0" xfId="611" applyNumberFormat="1" applyFont="1" applyAlignment="1">
      <alignment horizontal="center" vertical="center"/>
      <protection/>
    </xf>
    <xf numFmtId="3" fontId="71" fillId="0" borderId="20" xfId="611" applyNumberFormat="1" applyFont="1" applyBorder="1" applyAlignment="1">
      <alignment horizontal="center" vertical="center" wrapText="1"/>
      <protection/>
    </xf>
    <xf numFmtId="3" fontId="71" fillId="0" borderId="21" xfId="611" applyNumberFormat="1" applyFont="1" applyBorder="1" applyAlignment="1">
      <alignment horizontal="center" vertical="center"/>
      <protection/>
    </xf>
    <xf numFmtId="3" fontId="23" fillId="0" borderId="26" xfId="622" applyNumberFormat="1" applyFont="1" applyFill="1" applyBorder="1" applyAlignment="1">
      <alignment wrapText="1"/>
      <protection/>
    </xf>
    <xf numFmtId="0" fontId="71" fillId="0" borderId="0" xfId="611" applyFont="1" applyAlignment="1">
      <alignment horizontal="center" vertical="top"/>
      <protection/>
    </xf>
    <xf numFmtId="0" fontId="71" fillId="0" borderId="50" xfId="611" applyFont="1" applyBorder="1" applyAlignment="1">
      <alignment horizontal="center" vertical="top"/>
      <protection/>
    </xf>
    <xf numFmtId="0" fontId="71" fillId="0" borderId="20" xfId="611" applyFont="1" applyBorder="1" applyAlignment="1">
      <alignment horizontal="center" vertical="top"/>
      <protection/>
    </xf>
    <xf numFmtId="0" fontId="71" fillId="0" borderId="25" xfId="611" applyFont="1" applyBorder="1" applyAlignment="1">
      <alignment horizontal="center" vertical="top"/>
      <protection/>
    </xf>
    <xf numFmtId="0" fontId="71" fillId="0" borderId="25" xfId="611" applyFont="1" applyBorder="1" applyAlignment="1">
      <alignment horizontal="center"/>
      <protection/>
    </xf>
    <xf numFmtId="0" fontId="71" fillId="0" borderId="20" xfId="611" applyFont="1" applyBorder="1" applyAlignment="1">
      <alignment horizontal="center" vertical="center"/>
      <protection/>
    </xf>
    <xf numFmtId="0" fontId="17" fillId="0" borderId="24" xfId="611" applyFont="1" applyBorder="1" applyAlignment="1">
      <alignment horizontal="center" vertical="center"/>
      <protection/>
    </xf>
    <xf numFmtId="6" fontId="17" fillId="0" borderId="20" xfId="611" applyNumberFormat="1" applyFont="1" applyBorder="1" applyAlignment="1">
      <alignment horizontal="center" vertical="center"/>
      <protection/>
    </xf>
    <xf numFmtId="0" fontId="0" fillId="0" borderId="0" xfId="611" applyFont="1">
      <alignment/>
      <protection/>
    </xf>
    <xf numFmtId="168" fontId="161" fillId="0" borderId="0" xfId="619" applyNumberFormat="1" applyFont="1" applyAlignment="1">
      <alignment horizontal="center"/>
    </xf>
    <xf numFmtId="168" fontId="162" fillId="0" borderId="0" xfId="619" applyNumberFormat="1" applyFont="1" applyAlignment="1">
      <alignment/>
    </xf>
    <xf numFmtId="6" fontId="162" fillId="0" borderId="0" xfId="619" applyNumberFormat="1" applyFont="1" applyAlignment="1">
      <alignment/>
    </xf>
    <xf numFmtId="6" fontId="163" fillId="0" borderId="0" xfId="619" applyNumberFormat="1" applyFont="1" applyAlignment="1">
      <alignment/>
    </xf>
    <xf numFmtId="168" fontId="161" fillId="0" borderId="41" xfId="619" applyNumberFormat="1" applyFont="1" applyBorder="1" applyAlignment="1">
      <alignment horizontal="center" vertical="center"/>
    </xf>
    <xf numFmtId="168" fontId="161" fillId="0" borderId="50" xfId="619" applyNumberFormat="1" applyFont="1" applyBorder="1" applyAlignment="1">
      <alignment horizontal="center" vertical="center"/>
    </xf>
    <xf numFmtId="168" fontId="164" fillId="0" borderId="39" xfId="619" applyNumberFormat="1" applyFont="1" applyBorder="1" applyAlignment="1">
      <alignment horizontal="left" vertical="center" wrapText="1"/>
    </xf>
    <xf numFmtId="6" fontId="165" fillId="0" borderId="56" xfId="619" applyNumberFormat="1" applyFont="1" applyBorder="1" applyAlignment="1">
      <alignment horizontal="right" vertical="center" wrapText="1"/>
    </xf>
    <xf numFmtId="6" fontId="166" fillId="0" borderId="56" xfId="619" applyNumberFormat="1" applyFont="1" applyBorder="1" applyAlignment="1">
      <alignment vertical="center" wrapText="1"/>
    </xf>
    <xf numFmtId="6" fontId="165" fillId="0" borderId="56" xfId="619" applyNumberFormat="1" applyFont="1" applyBorder="1" applyAlignment="1">
      <alignment vertical="center" wrapText="1"/>
    </xf>
    <xf numFmtId="6" fontId="166" fillId="0" borderId="38" xfId="619" applyNumberFormat="1" applyFont="1" applyBorder="1" applyAlignment="1">
      <alignment vertical="center" wrapText="1"/>
    </xf>
    <xf numFmtId="6" fontId="166" fillId="0" borderId="54" xfId="619" applyNumberFormat="1" applyFont="1" applyBorder="1" applyAlignment="1">
      <alignment vertical="center" wrapText="1"/>
    </xf>
    <xf numFmtId="168" fontId="155" fillId="0" borderId="0" xfId="619" applyNumberFormat="1" applyFont="1" applyBorder="1" applyAlignment="1">
      <alignment vertical="center"/>
    </xf>
    <xf numFmtId="6" fontId="155" fillId="0" borderId="0" xfId="619" applyNumberFormat="1" applyFont="1" applyBorder="1" applyAlignment="1">
      <alignment vertical="center"/>
    </xf>
    <xf numFmtId="168" fontId="161" fillId="0" borderId="25" xfId="619" applyNumberFormat="1" applyFont="1" applyBorder="1" applyAlignment="1">
      <alignment horizontal="center" vertical="center"/>
    </xf>
    <xf numFmtId="168" fontId="166" fillId="0" borderId="39" xfId="619" applyNumberFormat="1" applyFont="1" applyBorder="1" applyAlignment="1">
      <alignment horizontal="right" vertical="center" wrapText="1"/>
    </xf>
    <xf numFmtId="6" fontId="165" fillId="0" borderId="19" xfId="619" applyNumberFormat="1" applyFont="1" applyBorder="1" applyAlignment="1">
      <alignment horizontal="right" vertical="center" wrapText="1"/>
    </xf>
    <xf numFmtId="6" fontId="166" fillId="0" borderId="19" xfId="619" applyNumberFormat="1" applyFont="1" applyBorder="1" applyAlignment="1">
      <alignment vertical="center" wrapText="1"/>
    </xf>
    <xf numFmtId="6" fontId="165" fillId="0" borderId="19" xfId="619" applyNumberFormat="1" applyFont="1" applyBorder="1" applyAlignment="1">
      <alignment vertical="center" wrapText="1"/>
    </xf>
    <xf numFmtId="6" fontId="165" fillId="0" borderId="38" xfId="619" applyNumberFormat="1" applyFont="1" applyBorder="1" applyAlignment="1">
      <alignment vertical="center" wrapText="1"/>
    </xf>
    <xf numFmtId="168" fontId="165" fillId="0" borderId="0" xfId="619" applyNumberFormat="1" applyFont="1" applyBorder="1" applyAlignment="1">
      <alignment vertical="center"/>
    </xf>
    <xf numFmtId="6" fontId="165" fillId="0" borderId="0" xfId="619" applyNumberFormat="1" applyFont="1" applyBorder="1" applyAlignment="1">
      <alignment vertical="center"/>
    </xf>
    <xf numFmtId="6" fontId="165" fillId="0" borderId="38" xfId="619" applyNumberFormat="1" applyFont="1" applyBorder="1" applyAlignment="1">
      <alignment vertical="center" wrapText="1"/>
    </xf>
    <xf numFmtId="168" fontId="164" fillId="0" borderId="47" xfId="619" applyNumberFormat="1" applyFont="1" applyBorder="1" applyAlignment="1">
      <alignment horizontal="right" vertical="center" wrapText="1"/>
    </xf>
    <xf numFmtId="6" fontId="164" fillId="0" borderId="45" xfId="619" applyNumberFormat="1" applyFont="1" applyBorder="1" applyAlignment="1">
      <alignment horizontal="right" vertical="center" wrapText="1"/>
    </xf>
    <xf numFmtId="6" fontId="164" fillId="0" borderId="49" xfId="619" applyNumberFormat="1" applyFont="1" applyBorder="1" applyAlignment="1">
      <alignment horizontal="right" vertical="center" wrapText="1"/>
    </xf>
    <xf numFmtId="6" fontId="164" fillId="0" borderId="46" xfId="619" applyNumberFormat="1" applyFont="1" applyBorder="1" applyAlignment="1">
      <alignment horizontal="right" vertical="center" wrapText="1"/>
    </xf>
    <xf numFmtId="168" fontId="164" fillId="0" borderId="0" xfId="619" applyNumberFormat="1" applyFont="1" applyAlignment="1">
      <alignment vertical="center"/>
    </xf>
    <xf numFmtId="6" fontId="164" fillId="0" borderId="0" xfId="619" applyNumberFormat="1" applyFont="1" applyAlignment="1">
      <alignment vertical="center"/>
    </xf>
    <xf numFmtId="6" fontId="165" fillId="0" borderId="19" xfId="619" applyNumberFormat="1" applyFont="1" applyBorder="1" applyAlignment="1">
      <alignment horizontal="center" vertical="center" wrapText="1"/>
    </xf>
    <xf numFmtId="6" fontId="84" fillId="0" borderId="38" xfId="619" applyNumberFormat="1" applyFont="1" applyBorder="1" applyAlignment="1">
      <alignment vertical="center" wrapText="1"/>
    </xf>
    <xf numFmtId="168" fontId="17" fillId="0" borderId="50" xfId="619" applyNumberFormat="1" applyFont="1" applyBorder="1" applyAlignment="1">
      <alignment horizontal="center" vertical="center"/>
    </xf>
    <xf numFmtId="168" fontId="23" fillId="0" borderId="39" xfId="619" applyNumberFormat="1" applyFont="1" applyBorder="1" applyAlignment="1">
      <alignment horizontal="left" vertical="center" wrapText="1"/>
    </xf>
    <xf numFmtId="6" fontId="84" fillId="0" borderId="19" xfId="619" applyNumberFormat="1" applyFont="1" applyBorder="1" applyAlignment="1">
      <alignment horizontal="center" vertical="center" wrapText="1"/>
    </xf>
    <xf numFmtId="6" fontId="84" fillId="0" borderId="19" xfId="619" applyNumberFormat="1" applyFont="1" applyBorder="1" applyAlignment="1">
      <alignment horizontal="right" vertical="center" wrapText="1"/>
    </xf>
    <xf numFmtId="6" fontId="37" fillId="0" borderId="19" xfId="619" applyNumberFormat="1" applyFont="1" applyBorder="1" applyAlignment="1">
      <alignment vertical="center" wrapText="1"/>
    </xf>
    <xf numFmtId="6" fontId="84" fillId="0" borderId="19" xfId="619" applyNumberFormat="1" applyFont="1" applyBorder="1" applyAlignment="1">
      <alignment vertical="center" wrapText="1"/>
    </xf>
    <xf numFmtId="6" fontId="37" fillId="0" borderId="38" xfId="619" applyNumberFormat="1" applyFont="1" applyBorder="1" applyAlignment="1">
      <alignment vertical="center" wrapText="1"/>
    </xf>
    <xf numFmtId="6" fontId="37" fillId="0" borderId="54" xfId="619" applyNumberFormat="1" applyFont="1" applyBorder="1" applyAlignment="1">
      <alignment vertical="center" wrapText="1"/>
    </xf>
    <xf numFmtId="168" fontId="80" fillId="0" borderId="0" xfId="619" applyNumberFormat="1" applyFont="1" applyBorder="1" applyAlignment="1">
      <alignment vertical="center"/>
    </xf>
    <xf numFmtId="6" fontId="80" fillId="0" borderId="0" xfId="619" applyNumberFormat="1" applyFont="1" applyBorder="1" applyAlignment="1">
      <alignment vertical="center"/>
    </xf>
    <xf numFmtId="168" fontId="17" fillId="0" borderId="25" xfId="619" applyNumberFormat="1" applyFont="1" applyBorder="1" applyAlignment="1">
      <alignment horizontal="center" vertical="center"/>
    </xf>
    <xf numFmtId="168" fontId="37" fillId="0" borderId="39" xfId="619" applyNumberFormat="1" applyFont="1" applyBorder="1" applyAlignment="1">
      <alignment horizontal="right" vertical="center" wrapText="1"/>
    </xf>
    <xf numFmtId="168" fontId="84" fillId="0" borderId="0" xfId="619" applyNumberFormat="1" applyFont="1" applyBorder="1" applyAlignment="1">
      <alignment vertical="center"/>
    </xf>
    <xf numFmtId="6" fontId="84" fillId="0" borderId="0" xfId="619" applyNumberFormat="1" applyFont="1" applyBorder="1" applyAlignment="1">
      <alignment vertical="center"/>
    </xf>
    <xf numFmtId="168" fontId="37" fillId="0" borderId="39" xfId="619" applyNumberFormat="1" applyFont="1" applyBorder="1" applyAlignment="1">
      <alignment horizontal="left" vertical="center" wrapText="1"/>
    </xf>
    <xf numFmtId="6" fontId="84" fillId="0" borderId="38" xfId="619" applyNumberFormat="1" applyFont="1" applyBorder="1" applyAlignment="1">
      <alignment vertical="center" wrapText="1"/>
    </xf>
    <xf numFmtId="168" fontId="17" fillId="0" borderId="41" xfId="619" applyNumberFormat="1" applyFont="1" applyBorder="1" applyAlignment="1">
      <alignment horizontal="center" vertical="center"/>
    </xf>
    <xf numFmtId="168" fontId="23" fillId="0" borderId="47" xfId="619" applyNumberFormat="1" applyFont="1" applyBorder="1" applyAlignment="1">
      <alignment horizontal="right" vertical="center" wrapText="1"/>
    </xf>
    <xf numFmtId="6" fontId="23" fillId="0" borderId="45" xfId="619" applyNumberFormat="1" applyFont="1" applyBorder="1" applyAlignment="1">
      <alignment horizontal="right" vertical="center" wrapText="1"/>
    </xf>
    <xf numFmtId="6" fontId="23" fillId="0" borderId="49" xfId="619" applyNumberFormat="1" applyFont="1" applyBorder="1" applyAlignment="1">
      <alignment horizontal="right" vertical="center" wrapText="1"/>
    </xf>
    <xf numFmtId="168" fontId="37" fillId="0" borderId="46" xfId="619" applyNumberFormat="1" applyFont="1" applyFill="1" applyBorder="1" applyAlignment="1">
      <alignment vertical="center" wrapText="1"/>
    </xf>
    <xf numFmtId="168" fontId="23" fillId="0" borderId="0" xfId="619" applyNumberFormat="1" applyFont="1" applyAlignment="1">
      <alignment vertical="center"/>
    </xf>
    <xf numFmtId="6" fontId="23" fillId="0" borderId="0" xfId="619" applyNumberFormat="1" applyFont="1" applyAlignment="1">
      <alignment vertical="center"/>
    </xf>
    <xf numFmtId="6" fontId="84" fillId="0" borderId="19" xfId="619" applyNumberFormat="1" applyFont="1" applyFill="1" applyBorder="1" applyAlignment="1">
      <alignment vertical="center" wrapText="1"/>
    </xf>
    <xf numFmtId="168" fontId="80" fillId="0" borderId="50" xfId="619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6" fontId="84" fillId="0" borderId="19" xfId="619" applyNumberFormat="1" applyFont="1" applyFill="1" applyBorder="1" applyAlignment="1">
      <alignment horizontal="right" vertical="center" wrapText="1"/>
    </xf>
    <xf numFmtId="6" fontId="84" fillId="0" borderId="19" xfId="619" applyNumberFormat="1" applyFont="1" applyFill="1" applyBorder="1" applyAlignment="1">
      <alignment horizontal="left" vertical="center" wrapText="1"/>
    </xf>
    <xf numFmtId="6" fontId="37" fillId="0" borderId="19" xfId="619" applyNumberFormat="1" applyFont="1" applyFill="1" applyBorder="1" applyAlignment="1">
      <alignment vertical="center" wrapText="1"/>
    </xf>
    <xf numFmtId="6" fontId="23" fillId="0" borderId="19" xfId="619" applyNumberFormat="1" applyFont="1" applyFill="1" applyBorder="1" applyAlignment="1">
      <alignment vertical="center" wrapText="1"/>
    </xf>
    <xf numFmtId="6" fontId="23" fillId="0" borderId="38" xfId="619" applyNumberFormat="1" applyFont="1" applyFill="1" applyBorder="1" applyAlignment="1">
      <alignment vertical="center" wrapText="1"/>
    </xf>
    <xf numFmtId="168" fontId="23" fillId="0" borderId="38" xfId="619" applyNumberFormat="1" applyFont="1" applyFill="1" applyBorder="1" applyAlignment="1">
      <alignment vertical="center" wrapText="1"/>
    </xf>
    <xf numFmtId="168" fontId="23" fillId="49" borderId="0" xfId="619" applyNumberFormat="1" applyFont="1" applyFill="1" applyAlignment="1">
      <alignment vertical="center"/>
    </xf>
    <xf numFmtId="6" fontId="23" fillId="0" borderId="0" xfId="619" applyNumberFormat="1" applyFont="1" applyFill="1" applyAlignment="1">
      <alignment vertical="center"/>
    </xf>
    <xf numFmtId="168" fontId="23" fillId="0" borderId="0" xfId="619" applyNumberFormat="1" applyFont="1" applyFill="1" applyAlignment="1">
      <alignment vertical="center"/>
    </xf>
    <xf numFmtId="168" fontId="80" fillId="0" borderId="25" xfId="619" applyNumberFormat="1" applyFont="1" applyFill="1" applyBorder="1" applyAlignment="1">
      <alignment horizontal="center" vertical="top"/>
    </xf>
    <xf numFmtId="168" fontId="37" fillId="0" borderId="39" xfId="619" applyNumberFormat="1" applyFont="1" applyFill="1" applyBorder="1" applyAlignment="1">
      <alignment vertical="center" wrapText="1"/>
    </xf>
    <xf numFmtId="6" fontId="84" fillId="0" borderId="38" xfId="619" applyNumberFormat="1" applyFont="1" applyFill="1" applyBorder="1" applyAlignment="1">
      <alignment vertical="center" wrapText="1"/>
    </xf>
    <xf numFmtId="168" fontId="37" fillId="49" borderId="0" xfId="619" applyNumberFormat="1" applyFont="1" applyFill="1" applyBorder="1" applyAlignment="1">
      <alignment vertical="center"/>
    </xf>
    <xf numFmtId="6" fontId="37" fillId="0" borderId="0" xfId="619" applyNumberFormat="1" applyFont="1" applyFill="1" applyBorder="1" applyAlignment="1">
      <alignment vertical="center"/>
    </xf>
    <xf numFmtId="168" fontId="37" fillId="0" borderId="0" xfId="619" applyNumberFormat="1" applyFont="1" applyFill="1" applyBorder="1" applyAlignment="1">
      <alignment vertical="center"/>
    </xf>
    <xf numFmtId="168" fontId="80" fillId="0" borderId="25" xfId="619" applyNumberFormat="1" applyFont="1" applyFill="1" applyBorder="1" applyAlignment="1">
      <alignment horizontal="center" vertical="center"/>
    </xf>
    <xf numFmtId="168" fontId="37" fillId="0" borderId="39" xfId="619" applyNumberFormat="1" applyFont="1" applyFill="1" applyBorder="1" applyAlignment="1">
      <alignment horizontal="right" vertical="center" wrapText="1"/>
    </xf>
    <xf numFmtId="168" fontId="23" fillId="0" borderId="38" xfId="619" applyNumberFormat="1" applyFont="1" applyFill="1" applyBorder="1" applyAlignment="1">
      <alignment vertical="center"/>
    </xf>
    <xf numFmtId="168" fontId="80" fillId="0" borderId="41" xfId="619" applyNumberFormat="1" applyFont="1" applyFill="1" applyBorder="1" applyAlignment="1">
      <alignment horizontal="center" vertical="center"/>
    </xf>
    <xf numFmtId="168" fontId="23" fillId="0" borderId="47" xfId="619" applyNumberFormat="1" applyFont="1" applyFill="1" applyBorder="1" applyAlignment="1">
      <alignment horizontal="right" vertical="center" wrapText="1"/>
    </xf>
    <xf numFmtId="6" fontId="23" fillId="0" borderId="45" xfId="619" applyNumberFormat="1" applyFont="1" applyFill="1" applyBorder="1" applyAlignment="1">
      <alignment vertical="center" wrapText="1"/>
    </xf>
    <xf numFmtId="6" fontId="23" fillId="0" borderId="49" xfId="619" applyNumberFormat="1" applyFont="1" applyFill="1" applyBorder="1" applyAlignment="1">
      <alignment vertical="center" wrapText="1"/>
    </xf>
    <xf numFmtId="6" fontId="23" fillId="0" borderId="59" xfId="619" applyNumberFormat="1" applyFont="1" applyFill="1" applyBorder="1" applyAlignment="1">
      <alignment vertical="center" wrapText="1"/>
    </xf>
    <xf numFmtId="168" fontId="37" fillId="0" borderId="37" xfId="619" applyNumberFormat="1" applyFont="1" applyFill="1" applyBorder="1" applyAlignment="1">
      <alignment vertical="center" wrapText="1"/>
    </xf>
    <xf numFmtId="168" fontId="37" fillId="0" borderId="37" xfId="619" applyNumberFormat="1" applyFont="1" applyFill="1" applyBorder="1" applyAlignment="1">
      <alignment horizontal="right" vertical="center" wrapText="1"/>
    </xf>
    <xf numFmtId="168" fontId="84" fillId="49" borderId="0" xfId="619" applyNumberFormat="1" applyFont="1" applyFill="1" applyBorder="1" applyAlignment="1">
      <alignment vertical="center"/>
    </xf>
    <xf numFmtId="6" fontId="84" fillId="0" borderId="0" xfId="619" applyNumberFormat="1" applyFont="1" applyFill="1" applyBorder="1" applyAlignment="1">
      <alignment vertical="center"/>
    </xf>
    <xf numFmtId="168" fontId="84" fillId="0" borderId="0" xfId="619" applyNumberFormat="1" applyFont="1" applyFill="1" applyBorder="1" applyAlignment="1">
      <alignment vertical="center"/>
    </xf>
    <xf numFmtId="168" fontId="84" fillId="0" borderId="38" xfId="619" applyNumberFormat="1" applyFont="1" applyFill="1" applyBorder="1" applyAlignment="1">
      <alignment vertical="center"/>
    </xf>
    <xf numFmtId="38" fontId="80" fillId="0" borderId="25" xfId="619" applyNumberFormat="1" applyFont="1" applyFill="1" applyBorder="1" applyAlignment="1">
      <alignment horizontal="center"/>
    </xf>
    <xf numFmtId="38" fontId="37" fillId="0" borderId="37" xfId="619" applyNumberFormat="1" applyFont="1" applyFill="1" applyBorder="1" applyAlignment="1">
      <alignment horizontal="right" vertical="center" wrapText="1"/>
    </xf>
    <xf numFmtId="6" fontId="84" fillId="0" borderId="19" xfId="619" applyNumberFormat="1" applyFont="1" applyFill="1" applyBorder="1" applyAlignment="1">
      <alignment wrapText="1"/>
    </xf>
    <xf numFmtId="168" fontId="84" fillId="0" borderId="38" xfId="619" applyNumberFormat="1" applyFont="1" applyFill="1" applyBorder="1" applyAlignment="1">
      <alignment vertical="center" wrapText="1"/>
    </xf>
    <xf numFmtId="38" fontId="84" fillId="49" borderId="0" xfId="619" applyNumberFormat="1" applyFont="1" applyFill="1" applyBorder="1" applyAlignment="1">
      <alignment/>
    </xf>
    <xf numFmtId="6" fontId="84" fillId="0" borderId="0" xfId="619" applyNumberFormat="1" applyFont="1" applyFill="1" applyBorder="1" applyAlignment="1">
      <alignment/>
    </xf>
    <xf numFmtId="38" fontId="84" fillId="0" borderId="0" xfId="619" applyNumberFormat="1" applyFont="1" applyFill="1" applyBorder="1" applyAlignment="1">
      <alignment/>
    </xf>
    <xf numFmtId="168" fontId="23" fillId="0" borderId="59" xfId="619" applyNumberFormat="1" applyFont="1" applyFill="1" applyBorder="1" applyAlignment="1">
      <alignment horizontal="right" vertical="center" wrapText="1"/>
    </xf>
    <xf numFmtId="168" fontId="80" fillId="0" borderId="50" xfId="619" applyNumberFormat="1" applyFont="1" applyFill="1" applyBorder="1" applyAlignment="1">
      <alignment horizontal="center" vertical="top"/>
    </xf>
    <xf numFmtId="168" fontId="23" fillId="0" borderId="39" xfId="619" applyNumberFormat="1" applyFont="1" applyFill="1" applyBorder="1" applyAlignment="1">
      <alignment vertical="center" wrapText="1"/>
    </xf>
    <xf numFmtId="38" fontId="37" fillId="0" borderId="39" xfId="619" applyNumberFormat="1" applyFont="1" applyFill="1" applyBorder="1" applyAlignment="1">
      <alignment horizontal="right" vertical="center" wrapText="1"/>
    </xf>
    <xf numFmtId="6" fontId="37" fillId="0" borderId="19" xfId="619" applyNumberFormat="1" applyFont="1" applyFill="1" applyBorder="1" applyAlignment="1">
      <alignment wrapText="1"/>
    </xf>
    <xf numFmtId="6" fontId="23" fillId="0" borderId="59" xfId="619" applyNumberFormat="1" applyFont="1" applyBorder="1" applyAlignment="1">
      <alignment horizontal="right" vertical="center" wrapText="1"/>
    </xf>
    <xf numFmtId="6" fontId="23" fillId="0" borderId="46" xfId="619" applyNumberFormat="1" applyFont="1" applyFill="1" applyBorder="1" applyAlignment="1">
      <alignment vertical="center" wrapText="1"/>
    </xf>
    <xf numFmtId="168" fontId="17" fillId="0" borderId="0" xfId="619" applyNumberFormat="1" applyFont="1" applyAlignment="1">
      <alignment horizontal="center"/>
    </xf>
    <xf numFmtId="168" fontId="91" fillId="0" borderId="0" xfId="619" applyNumberFormat="1" applyFont="1" applyAlignment="1">
      <alignment/>
    </xf>
    <xf numFmtId="6" fontId="91" fillId="0" borderId="0" xfId="619" applyNumberFormat="1" applyFont="1" applyAlignment="1">
      <alignment/>
    </xf>
    <xf numFmtId="168" fontId="92" fillId="0" borderId="0" xfId="619" applyNumberFormat="1" applyFont="1" applyAlignment="1">
      <alignment/>
    </xf>
    <xf numFmtId="6" fontId="92" fillId="0" borderId="0" xfId="619" applyNumberFormat="1" applyFont="1" applyAlignment="1">
      <alignment/>
    </xf>
    <xf numFmtId="168" fontId="0" fillId="0" borderId="0" xfId="619" applyNumberFormat="1" applyFont="1" applyAlignment="1">
      <alignment/>
    </xf>
    <xf numFmtId="6" fontId="0" fillId="0" borderId="0" xfId="619" applyNumberFormat="1" applyFont="1" applyAlignment="1">
      <alignment/>
    </xf>
    <xf numFmtId="6" fontId="7" fillId="0" borderId="0" xfId="619" applyNumberFormat="1" applyFont="1" applyAlignment="1">
      <alignment/>
    </xf>
    <xf numFmtId="6" fontId="24" fillId="0" borderId="0" xfId="619" applyNumberFormat="1" applyFont="1" applyAlignment="1">
      <alignment horizontal="center"/>
    </xf>
    <xf numFmtId="168" fontId="17" fillId="0" borderId="20" xfId="619" applyNumberFormat="1" applyFont="1" applyBorder="1" applyAlignment="1">
      <alignment horizontal="center" vertical="center"/>
    </xf>
    <xf numFmtId="168" fontId="1" fillId="0" borderId="20" xfId="619" applyNumberFormat="1" applyFont="1" applyBorder="1" applyAlignment="1">
      <alignment horizontal="center" vertical="center"/>
    </xf>
    <xf numFmtId="6" fontId="1" fillId="0" borderId="21" xfId="619" applyNumberFormat="1" applyFont="1" applyBorder="1" applyAlignment="1">
      <alignment horizontal="center" vertical="center"/>
    </xf>
    <xf numFmtId="6" fontId="1" fillId="0" borderId="20" xfId="619" applyNumberFormat="1" applyFont="1" applyBorder="1" applyAlignment="1">
      <alignment horizontal="center" vertical="center"/>
    </xf>
    <xf numFmtId="6" fontId="37" fillId="0" borderId="21" xfId="619" applyNumberFormat="1" applyFont="1" applyBorder="1" applyAlignment="1">
      <alignment horizontal="center" vertical="center"/>
    </xf>
    <xf numFmtId="6" fontId="1" fillId="0" borderId="23" xfId="619" applyNumberFormat="1" applyFont="1" applyBorder="1" applyAlignment="1">
      <alignment horizontal="center" vertical="center"/>
    </xf>
    <xf numFmtId="168" fontId="1" fillId="0" borderId="0" xfId="619" applyNumberFormat="1" applyFont="1" applyAlignment="1">
      <alignment horizontal="center" vertical="center"/>
    </xf>
    <xf numFmtId="6" fontId="1" fillId="0" borderId="0" xfId="619" applyNumberFormat="1" applyFont="1" applyAlignment="1">
      <alignment horizontal="center" vertical="center"/>
    </xf>
    <xf numFmtId="168" fontId="17" fillId="0" borderId="25" xfId="619" applyNumberFormat="1" applyFont="1" applyBorder="1" applyAlignment="1">
      <alignment horizontal="center"/>
    </xf>
    <xf numFmtId="168" fontId="84" fillId="0" borderId="25" xfId="619" applyNumberFormat="1" applyFont="1" applyBorder="1" applyAlignment="1">
      <alignment/>
    </xf>
    <xf numFmtId="6" fontId="84" fillId="0" borderId="0" xfId="619" applyNumberFormat="1" applyFont="1" applyBorder="1" applyAlignment="1">
      <alignment/>
    </xf>
    <xf numFmtId="6" fontId="7" fillId="0" borderId="0" xfId="619" applyNumberFormat="1" applyFont="1" applyBorder="1" applyAlignment="1">
      <alignment/>
    </xf>
    <xf numFmtId="6" fontId="0" fillId="0" borderId="0" xfId="619" applyNumberFormat="1" applyFont="1" applyBorder="1" applyAlignment="1">
      <alignment/>
    </xf>
    <xf numFmtId="6" fontId="0" fillId="0" borderId="38" xfId="619" applyNumberFormat="1" applyFont="1" applyBorder="1" applyAlignment="1">
      <alignment/>
    </xf>
    <xf numFmtId="168" fontId="17" fillId="0" borderId="50" xfId="619" applyNumberFormat="1" applyFont="1" applyBorder="1" applyAlignment="1">
      <alignment horizontal="center"/>
    </xf>
    <xf numFmtId="168" fontId="37" fillId="8" borderId="50" xfId="619" applyNumberFormat="1" applyFont="1" applyFill="1" applyBorder="1" applyAlignment="1">
      <alignment wrapText="1"/>
    </xf>
    <xf numFmtId="6" fontId="37" fillId="8" borderId="58" xfId="619" applyNumberFormat="1" applyFont="1" applyFill="1" applyBorder="1" applyAlignment="1">
      <alignment wrapText="1"/>
    </xf>
    <xf numFmtId="6" fontId="37" fillId="8" borderId="50" xfId="619" applyNumberFormat="1" applyFont="1" applyFill="1" applyBorder="1" applyAlignment="1">
      <alignment wrapText="1"/>
    </xf>
    <xf numFmtId="6" fontId="37" fillId="8" borderId="50" xfId="619" applyNumberFormat="1" applyFont="1" applyFill="1" applyBorder="1" applyAlignment="1">
      <alignment horizontal="center" wrapText="1"/>
    </xf>
    <xf numFmtId="168" fontId="17" fillId="0" borderId="0" xfId="619" applyNumberFormat="1" applyFont="1" applyAlignment="1">
      <alignment/>
    </xf>
    <xf numFmtId="6" fontId="17" fillId="0" borderId="0" xfId="619" applyNumberFormat="1" applyFont="1" applyAlignment="1">
      <alignment/>
    </xf>
    <xf numFmtId="168" fontId="37" fillId="8" borderId="25" xfId="619" applyNumberFormat="1" applyFont="1" applyFill="1" applyBorder="1" applyAlignment="1">
      <alignment horizontal="left" vertical="center" wrapText="1"/>
    </xf>
    <xf numFmtId="6" fontId="37" fillId="8" borderId="0" xfId="619" applyNumberFormat="1" applyFont="1" applyFill="1" applyBorder="1" applyAlignment="1">
      <alignment horizontal="center" vertical="center" wrapText="1"/>
    </xf>
    <xf numFmtId="6" fontId="37" fillId="8" borderId="25" xfId="619" applyNumberFormat="1" applyFont="1" applyFill="1" applyBorder="1" applyAlignment="1">
      <alignment horizontal="center" vertical="center" wrapText="1"/>
    </xf>
    <xf numFmtId="6" fontId="37" fillId="8" borderId="31" xfId="619" applyNumberFormat="1" applyFont="1" applyFill="1" applyBorder="1" applyAlignment="1">
      <alignment horizontal="center" vertical="center" wrapText="1"/>
    </xf>
    <xf numFmtId="168" fontId="17" fillId="8" borderId="36" xfId="619" applyNumberFormat="1" applyFont="1" applyFill="1" applyBorder="1" applyAlignment="1">
      <alignment wrapText="1"/>
    </xf>
    <xf numFmtId="6" fontId="17" fillId="8" borderId="33" xfId="619" applyNumberFormat="1" applyFont="1" applyFill="1" applyBorder="1" applyAlignment="1">
      <alignment wrapText="1"/>
    </xf>
    <xf numFmtId="6" fontId="17" fillId="8" borderId="36" xfId="619" applyNumberFormat="1" applyFont="1" applyFill="1" applyBorder="1" applyAlignment="1">
      <alignment wrapText="1"/>
    </xf>
    <xf numFmtId="6" fontId="80" fillId="8" borderId="36" xfId="619" applyNumberFormat="1" applyFont="1" applyFill="1" applyBorder="1" applyAlignment="1">
      <alignment wrapText="1"/>
    </xf>
    <xf numFmtId="6" fontId="37" fillId="8" borderId="32" xfId="619" applyNumberFormat="1" applyFont="1" applyFill="1" applyBorder="1" applyAlignment="1">
      <alignment horizontal="center" vertical="center" wrapText="1"/>
    </xf>
    <xf numFmtId="168" fontId="62" fillId="8" borderId="41" xfId="619" applyNumberFormat="1" applyFont="1" applyFill="1" applyBorder="1" applyAlignment="1">
      <alignment horizontal="center" vertical="center" wrapText="1"/>
    </xf>
    <xf numFmtId="6" fontId="62" fillId="8" borderId="48" xfId="619" applyNumberFormat="1" applyFont="1" applyFill="1" applyBorder="1" applyAlignment="1">
      <alignment horizontal="center" vertical="center" wrapText="1"/>
    </xf>
    <xf numFmtId="6" fontId="62" fillId="8" borderId="41" xfId="619" applyNumberFormat="1" applyFont="1" applyFill="1" applyBorder="1" applyAlignment="1">
      <alignment horizontal="center" vertical="center" wrapText="1"/>
    </xf>
    <xf numFmtId="6" fontId="37" fillId="8" borderId="41" xfId="619" applyNumberFormat="1" applyFont="1" applyFill="1" applyBorder="1" applyAlignment="1">
      <alignment horizontal="center" vertical="center" wrapText="1"/>
    </xf>
    <xf numFmtId="6" fontId="37" fillId="8" borderId="47" xfId="619" applyNumberFormat="1" applyFont="1" applyFill="1" applyBorder="1" applyAlignment="1">
      <alignment horizontal="center" vertical="center" wrapText="1"/>
    </xf>
    <xf numFmtId="6" fontId="37" fillId="8" borderId="46" xfId="619" applyNumberFormat="1" applyFont="1" applyFill="1" applyBorder="1" applyAlignment="1">
      <alignment horizontal="center" vertical="center" wrapText="1"/>
    </xf>
    <xf numFmtId="168" fontId="17" fillId="0" borderId="0" xfId="619" applyNumberFormat="1" applyFont="1" applyAlignment="1">
      <alignment vertical="center"/>
    </xf>
    <xf numFmtId="6" fontId="17" fillId="0" borderId="0" xfId="619" applyNumberFormat="1" applyFont="1" applyAlignment="1">
      <alignment vertical="center"/>
    </xf>
    <xf numFmtId="3" fontId="20" fillId="0" borderId="0" xfId="611" applyNumberFormat="1" applyFont="1" applyFill="1" applyBorder="1" applyAlignment="1">
      <alignment horizontal="left" vertical="center" wrapText="1"/>
      <protection/>
    </xf>
    <xf numFmtId="165" fontId="20" fillId="0" borderId="0" xfId="611" applyNumberFormat="1" applyFont="1" applyFill="1" applyBorder="1" applyAlignment="1">
      <alignment horizontal="center" vertical="center" wrapText="1"/>
      <protection/>
    </xf>
    <xf numFmtId="3" fontId="20" fillId="0" borderId="38" xfId="611" applyNumberFormat="1" applyFont="1" applyFill="1" applyBorder="1" applyAlignment="1">
      <alignment horizontal="right" vertical="center" wrapText="1"/>
      <protection/>
    </xf>
    <xf numFmtId="3" fontId="20" fillId="0" borderId="0" xfId="611" applyNumberFormat="1" applyFont="1" applyFill="1" applyBorder="1" applyAlignment="1">
      <alignment horizontal="right" vertical="center" wrapText="1"/>
      <protection/>
    </xf>
    <xf numFmtId="3" fontId="1" fillId="0" borderId="38" xfId="611" applyNumberFormat="1" applyFont="1" applyFill="1" applyBorder="1" applyAlignment="1">
      <alignment horizontal="right" vertical="center"/>
      <protection/>
    </xf>
    <xf numFmtId="3" fontId="1" fillId="0" borderId="0" xfId="611" applyNumberFormat="1" applyFont="1" applyAlignment="1">
      <alignment horizontal="center"/>
      <protection/>
    </xf>
    <xf numFmtId="165" fontId="20" fillId="0" borderId="0" xfId="611" applyNumberFormat="1" applyFont="1">
      <alignment/>
      <protection/>
    </xf>
    <xf numFmtId="3" fontId="20" fillId="0" borderId="0" xfId="611" applyNumberFormat="1" applyFont="1" applyAlignment="1">
      <alignment horizontal="right"/>
      <protection/>
    </xf>
    <xf numFmtId="3" fontId="94" fillId="0" borderId="0" xfId="611" applyNumberFormat="1" applyFont="1">
      <alignment/>
      <protection/>
    </xf>
    <xf numFmtId="3" fontId="95" fillId="0" borderId="0" xfId="611" applyNumberFormat="1" applyFont="1">
      <alignment/>
      <protection/>
    </xf>
    <xf numFmtId="165" fontId="95" fillId="0" borderId="0" xfId="611" applyNumberFormat="1" applyFont="1">
      <alignment/>
      <protection/>
    </xf>
    <xf numFmtId="3" fontId="22" fillId="0" borderId="0" xfId="611" applyNumberFormat="1" applyFont="1">
      <alignment/>
      <protection/>
    </xf>
    <xf numFmtId="3" fontId="21" fillId="0" borderId="0" xfId="611" applyNumberFormat="1" applyFont="1">
      <alignment/>
      <protection/>
    </xf>
    <xf numFmtId="3" fontId="1" fillId="0" borderId="20" xfId="611" applyNumberFormat="1" applyFont="1" applyBorder="1" applyAlignment="1">
      <alignment horizontal="center" vertical="center"/>
      <protection/>
    </xf>
    <xf numFmtId="3" fontId="1" fillId="0" borderId="21" xfId="611" applyNumberFormat="1" applyFont="1" applyBorder="1" applyAlignment="1">
      <alignment horizontal="center" vertical="center"/>
      <protection/>
    </xf>
    <xf numFmtId="3" fontId="1" fillId="0" borderId="24" xfId="611" applyNumberFormat="1" applyFont="1" applyBorder="1" applyAlignment="1">
      <alignment horizontal="center" vertical="center"/>
      <protection/>
    </xf>
    <xf numFmtId="165" fontId="1" fillId="0" borderId="20" xfId="611" applyNumberFormat="1" applyFont="1" applyBorder="1" applyAlignment="1">
      <alignment horizontal="center" vertical="center"/>
      <protection/>
    </xf>
    <xf numFmtId="3" fontId="1" fillId="0" borderId="23" xfId="611" applyNumberFormat="1" applyFont="1" applyBorder="1" applyAlignment="1">
      <alignment horizontal="center" vertical="center"/>
      <protection/>
    </xf>
    <xf numFmtId="3" fontId="1" fillId="0" borderId="0" xfId="611" applyNumberFormat="1" applyFont="1" applyAlignment="1">
      <alignment horizontal="center" vertical="center"/>
      <protection/>
    </xf>
    <xf numFmtId="3" fontId="1" fillId="0" borderId="50" xfId="611" applyNumberFormat="1" applyFont="1" applyBorder="1" applyAlignment="1">
      <alignment horizontal="center"/>
      <protection/>
    </xf>
    <xf numFmtId="3" fontId="1" fillId="0" borderId="58" xfId="611" applyNumberFormat="1" applyFont="1" applyBorder="1" applyAlignment="1">
      <alignment horizontal="center"/>
      <protection/>
    </xf>
    <xf numFmtId="3" fontId="1" fillId="0" borderId="70" xfId="611" applyNumberFormat="1" applyFont="1" applyBorder="1" applyAlignment="1">
      <alignment horizontal="center"/>
      <protection/>
    </xf>
    <xf numFmtId="3" fontId="1" fillId="0" borderId="41" xfId="611" applyNumberFormat="1" applyFont="1" applyBorder="1" applyAlignment="1">
      <alignment horizontal="center" vertical="top"/>
      <protection/>
    </xf>
    <xf numFmtId="3" fontId="1" fillId="0" borderId="48" xfId="611" applyNumberFormat="1" applyFont="1" applyBorder="1" applyAlignment="1">
      <alignment horizontal="center" vertical="top" wrapText="1"/>
      <protection/>
    </xf>
    <xf numFmtId="3" fontId="1" fillId="0" borderId="47" xfId="611" applyNumberFormat="1" applyFont="1" applyBorder="1" applyAlignment="1">
      <alignment horizontal="center" vertical="center" wrapText="1"/>
      <protection/>
    </xf>
    <xf numFmtId="3" fontId="1" fillId="0" borderId="45" xfId="611" applyNumberFormat="1" applyFont="1" applyBorder="1" applyAlignment="1">
      <alignment horizontal="center" vertical="center" wrapText="1"/>
      <protection/>
    </xf>
    <xf numFmtId="3" fontId="1" fillId="0" borderId="49" xfId="611" applyNumberFormat="1" applyFont="1" applyBorder="1" applyAlignment="1">
      <alignment horizontal="center" vertical="center" wrapText="1"/>
      <protection/>
    </xf>
    <xf numFmtId="3" fontId="1" fillId="0" borderId="59" xfId="611" applyNumberFormat="1" applyFont="1" applyBorder="1" applyAlignment="1">
      <alignment horizontal="center" vertical="center" wrapText="1"/>
      <protection/>
    </xf>
    <xf numFmtId="165" fontId="1" fillId="0" borderId="45" xfId="611" applyNumberFormat="1" applyFont="1" applyBorder="1" applyAlignment="1">
      <alignment horizontal="center" vertical="center" wrapText="1"/>
      <protection/>
    </xf>
    <xf numFmtId="3" fontId="1" fillId="0" borderId="63" xfId="611" applyNumberFormat="1" applyFont="1" applyBorder="1" applyAlignment="1">
      <alignment horizontal="center" vertical="center" wrapText="1"/>
      <protection/>
    </xf>
    <xf numFmtId="3" fontId="1" fillId="0" borderId="71" xfId="611" applyNumberFormat="1" applyFont="1" applyBorder="1" applyAlignment="1">
      <alignment horizontal="center" vertical="center"/>
      <protection/>
    </xf>
    <xf numFmtId="3" fontId="1" fillId="0" borderId="0" xfId="611" applyNumberFormat="1" applyFont="1" applyAlignment="1">
      <alignment vertical="top"/>
      <protection/>
    </xf>
    <xf numFmtId="3" fontId="1" fillId="0" borderId="0" xfId="611" applyNumberFormat="1" applyFont="1" applyBorder="1" applyAlignment="1">
      <alignment horizontal="left" vertical="center" wrapText="1"/>
      <protection/>
    </xf>
    <xf numFmtId="3" fontId="1" fillId="0" borderId="38" xfId="611" applyNumberFormat="1" applyFont="1" applyBorder="1" applyAlignment="1">
      <alignment horizontal="center" vertical="center" wrapText="1"/>
      <protection/>
    </xf>
    <xf numFmtId="3" fontId="1" fillId="0" borderId="41" xfId="611" applyNumberFormat="1" applyFont="1" applyBorder="1" applyAlignment="1">
      <alignment horizontal="center" vertical="center"/>
      <protection/>
    </xf>
    <xf numFmtId="3" fontId="1" fillId="0" borderId="48" xfId="611" applyNumberFormat="1" applyFont="1" applyBorder="1" applyAlignment="1">
      <alignment horizontal="left" vertical="center" wrapText="1"/>
      <protection/>
    </xf>
    <xf numFmtId="3" fontId="1" fillId="0" borderId="46" xfId="611" applyNumberFormat="1" applyFont="1" applyBorder="1" applyAlignment="1">
      <alignment horizontal="center" vertical="center" wrapText="1"/>
      <protection/>
    </xf>
    <xf numFmtId="3" fontId="20" fillId="0" borderId="25" xfId="611" applyNumberFormat="1" applyFont="1" applyBorder="1" applyAlignment="1">
      <alignment horizontal="center"/>
      <protection/>
    </xf>
    <xf numFmtId="3" fontId="79" fillId="0" borderId="25" xfId="611" applyNumberFormat="1" applyFont="1" applyBorder="1" applyAlignment="1">
      <alignment horizontal="right"/>
      <protection/>
    </xf>
    <xf numFmtId="3" fontId="79" fillId="0" borderId="0" xfId="611" applyNumberFormat="1" applyFont="1" applyBorder="1" applyAlignment="1">
      <alignment horizontal="left"/>
      <protection/>
    </xf>
    <xf numFmtId="3" fontId="60" fillId="0" borderId="0" xfId="611" applyNumberFormat="1" applyFont="1" applyBorder="1" applyAlignment="1">
      <alignment horizontal="left"/>
      <protection/>
    </xf>
    <xf numFmtId="0" fontId="20" fillId="0" borderId="0" xfId="611" applyNumberFormat="1" applyFont="1" applyBorder="1" applyAlignment="1">
      <alignment horizontal="left" wrapText="1"/>
      <protection/>
    </xf>
    <xf numFmtId="3" fontId="20" fillId="0" borderId="20" xfId="611" applyNumberFormat="1" applyFont="1" applyBorder="1" applyAlignment="1">
      <alignment horizontal="center" vertical="center"/>
      <protection/>
    </xf>
    <xf numFmtId="3" fontId="20" fillId="0" borderId="58" xfId="611" applyNumberFormat="1" applyFont="1" applyBorder="1" applyAlignment="1">
      <alignment horizontal="left" vertical="center" wrapText="1"/>
      <protection/>
    </xf>
    <xf numFmtId="3" fontId="20" fillId="0" borderId="24" xfId="611" applyNumberFormat="1" applyFont="1" applyBorder="1" applyAlignment="1">
      <alignment horizontal="center" vertical="center" wrapText="1"/>
      <protection/>
    </xf>
    <xf numFmtId="3" fontId="20" fillId="0" borderId="21" xfId="611" applyNumberFormat="1" applyFont="1" applyBorder="1" applyAlignment="1">
      <alignment horizontal="center" vertical="center" wrapText="1"/>
      <protection/>
    </xf>
    <xf numFmtId="3" fontId="20" fillId="0" borderId="23" xfId="611" applyNumberFormat="1" applyFont="1" applyBorder="1" applyAlignment="1">
      <alignment horizontal="center" vertical="center" wrapText="1"/>
      <protection/>
    </xf>
    <xf numFmtId="165" fontId="20" fillId="0" borderId="21" xfId="611" applyNumberFormat="1" applyFont="1" applyBorder="1" applyAlignment="1">
      <alignment horizontal="center" vertical="center" wrapText="1"/>
      <protection/>
    </xf>
    <xf numFmtId="3" fontId="20" fillId="0" borderId="21" xfId="611" applyNumberFormat="1" applyFont="1" applyBorder="1" applyAlignment="1">
      <alignment horizontal="right" vertical="center" wrapText="1"/>
      <protection/>
    </xf>
    <xf numFmtId="3" fontId="20" fillId="0" borderId="20" xfId="611" applyNumberFormat="1" applyFont="1" applyBorder="1" applyAlignment="1">
      <alignment horizontal="right" vertical="center"/>
      <protection/>
    </xf>
    <xf numFmtId="3" fontId="20" fillId="0" borderId="50" xfId="611" applyNumberFormat="1" applyFont="1" applyBorder="1" applyAlignment="1">
      <alignment horizontal="center" vertical="center"/>
      <protection/>
    </xf>
    <xf numFmtId="3" fontId="20" fillId="0" borderId="51" xfId="611" applyNumberFormat="1" applyFont="1" applyBorder="1" applyAlignment="1">
      <alignment horizontal="center" vertical="center" wrapText="1"/>
      <protection/>
    </xf>
    <xf numFmtId="3" fontId="20" fillId="0" borderId="58" xfId="611" applyNumberFormat="1" applyFont="1" applyBorder="1" applyAlignment="1">
      <alignment horizontal="center" vertical="center" wrapText="1"/>
      <protection/>
    </xf>
    <xf numFmtId="3" fontId="20" fillId="0" borderId="54" xfId="611" applyNumberFormat="1" applyFont="1" applyBorder="1" applyAlignment="1">
      <alignment horizontal="center" vertical="center" wrapText="1"/>
      <protection/>
    </xf>
    <xf numFmtId="165" fontId="20" fillId="0" borderId="58" xfId="611" applyNumberFormat="1" applyFont="1" applyBorder="1" applyAlignment="1">
      <alignment horizontal="center" vertical="center" wrapText="1"/>
      <protection/>
    </xf>
    <xf numFmtId="3" fontId="20" fillId="0" borderId="54" xfId="611" applyNumberFormat="1" applyFont="1" applyBorder="1" applyAlignment="1">
      <alignment horizontal="right" vertical="center" wrapText="1"/>
      <protection/>
    </xf>
    <xf numFmtId="3" fontId="0" fillId="0" borderId="25" xfId="611" applyNumberFormat="1" applyFont="1" applyBorder="1" applyAlignment="1">
      <alignment horizontal="center" vertical="center"/>
      <protection/>
    </xf>
    <xf numFmtId="3" fontId="79" fillId="0" borderId="0" xfId="611" applyNumberFormat="1" applyFont="1" applyBorder="1" applyAlignment="1">
      <alignment horizontal="left" vertical="center"/>
      <protection/>
    </xf>
    <xf numFmtId="3" fontId="79" fillId="0" borderId="38" xfId="611" applyNumberFormat="1" applyFont="1" applyBorder="1" applyAlignment="1">
      <alignment horizontal="right" vertical="center" wrapText="1"/>
      <protection/>
    </xf>
    <xf numFmtId="3" fontId="79" fillId="0" borderId="38" xfId="611" applyNumberFormat="1" applyFont="1" applyBorder="1" applyAlignment="1">
      <alignment horizontal="right" vertical="center"/>
      <protection/>
    </xf>
    <xf numFmtId="3" fontId="20" fillId="0" borderId="42" xfId="611" applyNumberFormat="1" applyFont="1" applyBorder="1" applyAlignment="1">
      <alignment vertical="center" wrapText="1"/>
      <protection/>
    </xf>
    <xf numFmtId="3" fontId="20" fillId="0" borderId="48" xfId="611" applyNumberFormat="1" applyFont="1" applyBorder="1" applyAlignment="1">
      <alignment vertical="center" wrapText="1"/>
      <protection/>
    </xf>
    <xf numFmtId="3" fontId="20" fillId="0" borderId="46" xfId="611" applyNumberFormat="1" applyFont="1" applyBorder="1" applyAlignment="1">
      <alignment vertical="center" wrapText="1"/>
      <protection/>
    </xf>
    <xf numFmtId="9" fontId="20" fillId="0" borderId="48" xfId="625" applyFont="1" applyBorder="1" applyAlignment="1">
      <alignment vertical="center" wrapText="1"/>
    </xf>
    <xf numFmtId="3" fontId="20" fillId="0" borderId="0" xfId="611" applyNumberFormat="1" applyFont="1" applyBorder="1" applyAlignment="1">
      <alignment vertical="center" wrapText="1"/>
      <protection/>
    </xf>
    <xf numFmtId="3" fontId="79" fillId="0" borderId="25" xfId="611" applyNumberFormat="1" applyFont="1" applyBorder="1" applyAlignment="1">
      <alignment vertical="center"/>
      <protection/>
    </xf>
    <xf numFmtId="3" fontId="94" fillId="0" borderId="20" xfId="611" applyNumberFormat="1" applyFont="1" applyBorder="1" applyAlignment="1">
      <alignment horizontal="center" vertical="center"/>
      <protection/>
    </xf>
    <xf numFmtId="3" fontId="94" fillId="0" borderId="21" xfId="611" applyNumberFormat="1" applyFont="1" applyBorder="1" applyAlignment="1">
      <alignment vertical="center"/>
      <protection/>
    </xf>
    <xf numFmtId="3" fontId="94" fillId="0" borderId="24" xfId="611" applyNumberFormat="1" applyFont="1" applyBorder="1" applyAlignment="1">
      <alignment vertical="center"/>
      <protection/>
    </xf>
    <xf numFmtId="3" fontId="94" fillId="0" borderId="23" xfId="611" applyNumberFormat="1" applyFont="1" applyBorder="1" applyAlignment="1">
      <alignment vertical="center"/>
      <protection/>
    </xf>
    <xf numFmtId="165" fontId="94" fillId="0" borderId="21" xfId="611" applyNumberFormat="1" applyFont="1" applyBorder="1" applyAlignment="1">
      <alignment vertical="center"/>
      <protection/>
    </xf>
    <xf numFmtId="3" fontId="94" fillId="0" borderId="20" xfId="611" applyNumberFormat="1" applyFont="1" applyBorder="1" applyAlignment="1">
      <alignment vertical="center"/>
      <protection/>
    </xf>
    <xf numFmtId="3" fontId="94" fillId="0" borderId="0" xfId="611" applyNumberFormat="1" applyFont="1" applyAlignment="1">
      <alignment vertical="center"/>
      <protection/>
    </xf>
    <xf numFmtId="0" fontId="17" fillId="0" borderId="26" xfId="0" applyFont="1" applyFill="1" applyBorder="1" applyAlignment="1">
      <alignment vertical="center" wrapText="1"/>
    </xf>
    <xf numFmtId="167" fontId="0" fillId="0" borderId="0" xfId="583" applyNumberFormat="1" applyFont="1" applyBorder="1" applyAlignment="1">
      <alignment horizontal="center" vertical="center" wrapText="1"/>
    </xf>
    <xf numFmtId="3" fontId="22" fillId="0" borderId="0" xfId="611" applyNumberFormat="1" applyFont="1" applyAlignment="1">
      <alignment horizontal="center"/>
      <protection/>
    </xf>
    <xf numFmtId="6" fontId="84" fillId="0" borderId="0" xfId="101" applyNumberFormat="1" applyFont="1" applyFill="1" applyAlignment="1">
      <alignment wrapText="1"/>
      <protection/>
    </xf>
    <xf numFmtId="3" fontId="80" fillId="0" borderId="23" xfId="609" applyNumberFormat="1" applyFont="1" applyBorder="1" applyAlignment="1">
      <alignment horizontal="center" vertical="center"/>
      <protection/>
    </xf>
    <xf numFmtId="3" fontId="81" fillId="0" borderId="46" xfId="609" applyNumberFormat="1" applyFont="1" applyBorder="1" applyAlignment="1">
      <alignment horizontal="centerContinuous" vertical="center" wrapText="1"/>
      <protection/>
    </xf>
    <xf numFmtId="3" fontId="4" fillId="0" borderId="38" xfId="609" applyNumberFormat="1" applyFont="1" applyBorder="1">
      <alignment/>
      <protection/>
    </xf>
    <xf numFmtId="3" fontId="4" fillId="0" borderId="46" xfId="609" applyNumberFormat="1" applyFont="1" applyBorder="1">
      <alignment/>
      <protection/>
    </xf>
    <xf numFmtId="3" fontId="4" fillId="0" borderId="54" xfId="609" applyNumberFormat="1" applyFont="1" applyBorder="1">
      <alignment/>
      <protection/>
    </xf>
    <xf numFmtId="3" fontId="82" fillId="0" borderId="23" xfId="609" applyNumberFormat="1" applyFont="1" applyBorder="1" applyAlignment="1">
      <alignment vertical="center"/>
      <protection/>
    </xf>
    <xf numFmtId="4" fontId="18" fillId="0" borderId="0" xfId="609" applyNumberFormat="1" applyFont="1">
      <alignment/>
      <protection/>
    </xf>
    <xf numFmtId="3" fontId="26" fillId="0" borderId="0" xfId="609" applyNumberFormat="1" applyFont="1" applyBorder="1" applyAlignment="1">
      <alignment/>
      <protection/>
    </xf>
    <xf numFmtId="4" fontId="26" fillId="0" borderId="0" xfId="609" applyNumberFormat="1" applyFont="1" applyAlignment="1">
      <alignment horizontal="centerContinuous" vertical="center"/>
      <protection/>
    </xf>
    <xf numFmtId="3" fontId="26" fillId="0" borderId="0" xfId="609" applyNumberFormat="1" applyFont="1" applyBorder="1" applyAlignment="1">
      <alignment vertical="center"/>
      <protection/>
    </xf>
    <xf numFmtId="0" fontId="37" fillId="0" borderId="0" xfId="611" applyFont="1">
      <alignment/>
      <protection/>
    </xf>
    <xf numFmtId="3" fontId="7" fillId="0" borderId="0" xfId="609" applyNumberFormat="1" applyFont="1">
      <alignment/>
      <protection/>
    </xf>
    <xf numFmtId="0" fontId="7" fillId="0" borderId="0" xfId="0" applyFont="1" applyAlignment="1">
      <alignment/>
    </xf>
    <xf numFmtId="0" fontId="97" fillId="0" borderId="0" xfId="0" applyFont="1" applyAlignment="1">
      <alignment/>
    </xf>
    <xf numFmtId="3" fontId="98" fillId="0" borderId="0" xfId="609" applyNumberFormat="1" applyFont="1" applyAlignment="1">
      <alignment horizontal="centerContinuous" vertical="top"/>
      <protection/>
    </xf>
    <xf numFmtId="3" fontId="99" fillId="0" borderId="0" xfId="609" applyNumberFormat="1" applyFont="1" applyAlignment="1">
      <alignment horizontal="centerContinuous" vertical="center"/>
      <protection/>
    </xf>
    <xf numFmtId="3" fontId="80" fillId="0" borderId="0" xfId="609" applyNumberFormat="1" applyFont="1" applyAlignment="1">
      <alignment horizontal="centerContinuous" vertical="center"/>
      <protection/>
    </xf>
    <xf numFmtId="3" fontId="88" fillId="0" borderId="42" xfId="609" applyNumberFormat="1" applyFont="1" applyBorder="1" applyAlignment="1">
      <alignment horizontal="left" vertical="center" wrapText="1"/>
      <protection/>
    </xf>
    <xf numFmtId="3" fontId="88" fillId="0" borderId="46" xfId="609" applyNumberFormat="1" applyFont="1" applyBorder="1" applyAlignment="1">
      <alignment horizontal="centerContinuous" vertical="center" wrapText="1"/>
      <protection/>
    </xf>
    <xf numFmtId="3" fontId="80" fillId="0" borderId="25" xfId="609" applyNumberFormat="1" applyFont="1" applyBorder="1" applyAlignment="1">
      <alignment horizontal="center" vertical="center" wrapText="1"/>
      <protection/>
    </xf>
    <xf numFmtId="3" fontId="100" fillId="0" borderId="0" xfId="609" applyNumberFormat="1" applyFont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6" fontId="101" fillId="0" borderId="0" xfId="101" applyNumberFormat="1" applyFont="1" applyFill="1" applyBorder="1" applyAlignment="1">
      <alignment vertical="center" wrapText="1"/>
      <protection/>
    </xf>
    <xf numFmtId="0" fontId="101" fillId="0" borderId="0" xfId="0" applyFont="1" applyBorder="1" applyAlignment="1">
      <alignment vertical="center" wrapText="1"/>
    </xf>
    <xf numFmtId="6" fontId="101" fillId="0" borderId="0" xfId="101" applyNumberFormat="1" applyFont="1" applyFill="1" applyBorder="1" applyAlignment="1">
      <alignment horizontal="left" vertical="center" wrapText="1"/>
      <protection/>
    </xf>
    <xf numFmtId="3" fontId="80" fillId="0" borderId="25" xfId="609" applyNumberFormat="1" applyFont="1" applyBorder="1" applyAlignment="1">
      <alignment horizontal="center" vertical="center"/>
      <protection/>
    </xf>
    <xf numFmtId="3" fontId="84" fillId="0" borderId="0" xfId="609" applyNumberFormat="1" applyFont="1" applyBorder="1" applyAlignment="1">
      <alignment vertical="center" wrapText="1"/>
      <protection/>
    </xf>
    <xf numFmtId="3" fontId="100" fillId="0" borderId="0" xfId="609" applyNumberFormat="1" applyFont="1" applyBorder="1" applyAlignment="1">
      <alignment horizontal="left" vertical="center" wrapText="1"/>
      <protection/>
    </xf>
    <xf numFmtId="3" fontId="101" fillId="0" borderId="0" xfId="0" applyNumberFormat="1" applyFont="1" applyFill="1" applyBorder="1" applyAlignment="1">
      <alignment vertical="center" wrapText="1"/>
    </xf>
    <xf numFmtId="3" fontId="7" fillId="0" borderId="0" xfId="609" applyNumberFormat="1" applyFont="1" applyBorder="1" applyAlignment="1">
      <alignment wrapText="1"/>
      <protection/>
    </xf>
    <xf numFmtId="3" fontId="7" fillId="0" borderId="48" xfId="609" applyNumberFormat="1" applyFont="1" applyBorder="1" applyAlignment="1">
      <alignment wrapText="1"/>
      <protection/>
    </xf>
    <xf numFmtId="3" fontId="102" fillId="0" borderId="21" xfId="609" applyNumberFormat="1" applyFont="1" applyBorder="1" applyAlignment="1">
      <alignment vertical="center" wrapText="1"/>
      <protection/>
    </xf>
    <xf numFmtId="3" fontId="7" fillId="0" borderId="0" xfId="0" applyNumberFormat="1" applyFont="1" applyAlignment="1">
      <alignment vertical="center"/>
    </xf>
    <xf numFmtId="6" fontId="7" fillId="0" borderId="0" xfId="0" applyNumberFormat="1" applyFont="1" applyAlignment="1">
      <alignment vertical="center"/>
    </xf>
    <xf numFmtId="6" fontId="7" fillId="0" borderId="0" xfId="0" applyNumberFormat="1" applyFont="1" applyAlignment="1">
      <alignment/>
    </xf>
    <xf numFmtId="6" fontId="94" fillId="0" borderId="0" xfId="611" applyNumberFormat="1" applyFont="1" applyAlignment="1">
      <alignment horizontal="left"/>
      <protection/>
    </xf>
    <xf numFmtId="0" fontId="20" fillId="0" borderId="0" xfId="611" applyFont="1">
      <alignment/>
      <protection/>
    </xf>
    <xf numFmtId="6" fontId="20" fillId="0" borderId="0" xfId="611" applyNumberFormat="1" applyFont="1">
      <alignment/>
      <protection/>
    </xf>
    <xf numFmtId="0" fontId="20" fillId="0" borderId="0" xfId="611" applyFont="1" applyAlignment="1">
      <alignment horizontal="right"/>
      <protection/>
    </xf>
    <xf numFmtId="0" fontId="22" fillId="0" borderId="0" xfId="611" applyFont="1" applyAlignment="1">
      <alignment horizontal="center"/>
      <protection/>
    </xf>
    <xf numFmtId="0" fontId="30" fillId="0" borderId="0" xfId="611" applyFont="1">
      <alignment/>
      <protection/>
    </xf>
    <xf numFmtId="0" fontId="24" fillId="0" borderId="0" xfId="611" applyFont="1" applyAlignment="1">
      <alignment horizontal="center"/>
      <protection/>
    </xf>
    <xf numFmtId="0" fontId="25" fillId="0" borderId="0" xfId="611" applyFont="1">
      <alignment/>
      <protection/>
    </xf>
    <xf numFmtId="0" fontId="1" fillId="0" borderId="0" xfId="611" applyFont="1" applyAlignment="1">
      <alignment horizontal="center"/>
      <protection/>
    </xf>
    <xf numFmtId="6" fontId="1" fillId="0" borderId="0" xfId="611" applyNumberFormat="1" applyFont="1" applyAlignment="1">
      <alignment horizontal="center"/>
      <protection/>
    </xf>
    <xf numFmtId="0" fontId="22" fillId="0" borderId="24" xfId="611" applyFont="1" applyBorder="1" applyAlignment="1">
      <alignment horizontal="center" vertical="center" wrapText="1"/>
      <protection/>
    </xf>
    <xf numFmtId="6" fontId="22" fillId="0" borderId="20" xfId="611" applyNumberFormat="1" applyFont="1" applyBorder="1" applyAlignment="1">
      <alignment horizontal="center" vertical="center" wrapText="1"/>
      <protection/>
    </xf>
    <xf numFmtId="6" fontId="22" fillId="0" borderId="25" xfId="617" applyNumberFormat="1" applyFont="1" applyFill="1" applyBorder="1" applyAlignment="1" applyProtection="1">
      <alignment/>
      <protection locked="0"/>
    </xf>
    <xf numFmtId="0" fontId="20" fillId="0" borderId="0" xfId="611" applyFont="1" applyBorder="1">
      <alignment/>
      <protection/>
    </xf>
    <xf numFmtId="6" fontId="22" fillId="0" borderId="25" xfId="617" applyNumberFormat="1" applyFont="1" applyFill="1" applyBorder="1" applyAlignment="1" applyProtection="1">
      <alignment/>
      <protection locked="0"/>
    </xf>
    <xf numFmtId="0" fontId="1" fillId="0" borderId="0" xfId="611" applyFont="1" applyBorder="1">
      <alignment/>
      <protection/>
    </xf>
    <xf numFmtId="6" fontId="84" fillId="0" borderId="25" xfId="617" applyNumberFormat="1" applyFont="1" applyFill="1" applyBorder="1" applyAlignment="1" applyProtection="1">
      <alignment/>
      <protection locked="0"/>
    </xf>
    <xf numFmtId="6" fontId="23" fillId="0" borderId="25" xfId="617" applyNumberFormat="1" applyFont="1" applyFill="1" applyBorder="1" applyAlignment="1" applyProtection="1">
      <alignment/>
      <protection locked="0"/>
    </xf>
    <xf numFmtId="6" fontId="84" fillId="0" borderId="25" xfId="617" applyNumberFormat="1" applyFont="1" applyFill="1" applyBorder="1" applyAlignment="1" applyProtection="1">
      <alignment vertical="center"/>
      <protection locked="0"/>
    </xf>
    <xf numFmtId="6" fontId="84" fillId="0" borderId="25" xfId="617" applyNumberFormat="1" applyFont="1" applyFill="1" applyBorder="1" applyAlignment="1" applyProtection="1">
      <alignment/>
      <protection locked="0"/>
    </xf>
    <xf numFmtId="168" fontId="20" fillId="0" borderId="0" xfId="611" applyNumberFormat="1" applyFont="1" applyBorder="1">
      <alignment/>
      <protection/>
    </xf>
    <xf numFmtId="3" fontId="20" fillId="0" borderId="26" xfId="608" applyNumberFormat="1" applyFont="1" applyFill="1" applyBorder="1" applyAlignment="1">
      <alignment wrapText="1"/>
      <protection/>
    </xf>
    <xf numFmtId="6" fontId="20" fillId="0" borderId="25" xfId="617" applyNumberFormat="1" applyFont="1" applyFill="1" applyBorder="1" applyAlignment="1" applyProtection="1">
      <alignment/>
      <protection locked="0"/>
    </xf>
    <xf numFmtId="0" fontId="22" fillId="0" borderId="0" xfId="611" applyFont="1" applyBorder="1">
      <alignment/>
      <protection/>
    </xf>
    <xf numFmtId="6" fontId="20" fillId="0" borderId="25" xfId="611" applyNumberFormat="1" applyFont="1" applyBorder="1">
      <alignment/>
      <protection/>
    </xf>
    <xf numFmtId="6" fontId="22" fillId="0" borderId="20" xfId="611" applyNumberFormat="1" applyFont="1" applyBorder="1" applyAlignment="1">
      <alignment vertical="center"/>
      <protection/>
    </xf>
    <xf numFmtId="0" fontId="22" fillId="0" borderId="0" xfId="611" applyFont="1" applyAlignment="1">
      <alignment vertical="center"/>
      <protection/>
    </xf>
    <xf numFmtId="167" fontId="20" fillId="0" borderId="0" xfId="611" applyNumberFormat="1" applyFont="1">
      <alignment/>
      <protection/>
    </xf>
    <xf numFmtId="167" fontId="20" fillId="0" borderId="0" xfId="583" applyNumberFormat="1" applyFont="1" applyBorder="1" applyAlignment="1">
      <alignment/>
    </xf>
    <xf numFmtId="167" fontId="20" fillId="0" borderId="0" xfId="583" applyNumberFormat="1" applyFont="1" applyAlignment="1">
      <alignment/>
    </xf>
    <xf numFmtId="167" fontId="20" fillId="0" borderId="0" xfId="583" applyNumberFormat="1" applyFont="1" applyBorder="1" applyAlignment="1">
      <alignment horizontal="right"/>
    </xf>
    <xf numFmtId="168" fontId="20" fillId="0" borderId="0" xfId="617" applyNumberFormat="1" applyFont="1" applyAlignment="1">
      <alignment/>
    </xf>
    <xf numFmtId="168" fontId="88" fillId="0" borderId="38" xfId="617" applyNumberFormat="1" applyFont="1" applyBorder="1" applyAlignment="1">
      <alignment horizontal="centerContinuous" vertical="center" wrapText="1"/>
    </xf>
    <xf numFmtId="168" fontId="101" fillId="0" borderId="38" xfId="617" applyNumberFormat="1" applyFont="1" applyBorder="1" applyAlignment="1">
      <alignment vertical="center"/>
    </xf>
    <xf numFmtId="168" fontId="84" fillId="0" borderId="38" xfId="617" applyNumberFormat="1" applyFont="1" applyBorder="1" applyAlignment="1">
      <alignment vertical="center"/>
    </xf>
    <xf numFmtId="168" fontId="7" fillId="0" borderId="38" xfId="617" applyNumberFormat="1" applyFont="1" applyBorder="1" applyAlignment="1">
      <alignment/>
    </xf>
    <xf numFmtId="168" fontId="7" fillId="0" borderId="46" xfId="617" applyNumberFormat="1" applyFont="1" applyBorder="1" applyAlignment="1">
      <alignment/>
    </xf>
    <xf numFmtId="168" fontId="102" fillId="0" borderId="23" xfId="617" applyNumberFormat="1" applyFont="1" applyBorder="1" applyAlignment="1">
      <alignment vertical="center"/>
    </xf>
    <xf numFmtId="3" fontId="18" fillId="0" borderId="0" xfId="609" applyNumberFormat="1" applyFont="1" applyBorder="1" applyAlignment="1">
      <alignment horizontal="center"/>
      <protection/>
    </xf>
    <xf numFmtId="0" fontId="35" fillId="0" borderId="0" xfId="611" applyFont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03" fillId="0" borderId="0" xfId="0" applyFont="1" applyAlignment="1">
      <alignment/>
    </xf>
    <xf numFmtId="3" fontId="18" fillId="0" borderId="0" xfId="609" applyNumberFormat="1" applyFont="1" applyBorder="1" applyAlignment="1">
      <alignment horizontal="center" vertical="top"/>
      <protection/>
    </xf>
    <xf numFmtId="3" fontId="18" fillId="0" borderId="0" xfId="609" applyNumberFormat="1" applyFont="1" applyBorder="1" applyAlignment="1">
      <alignment horizontal="center" vertical="center"/>
      <protection/>
    </xf>
    <xf numFmtId="3" fontId="18" fillId="0" borderId="20" xfId="609" applyNumberFormat="1" applyFont="1" applyBorder="1" applyAlignment="1">
      <alignment horizontal="center" vertical="center"/>
      <protection/>
    </xf>
    <xf numFmtId="3" fontId="18" fillId="0" borderId="24" xfId="609" applyNumberFormat="1" applyFont="1" applyBorder="1" applyAlignment="1">
      <alignment horizontal="center" vertical="center"/>
      <protection/>
    </xf>
    <xf numFmtId="3" fontId="18" fillId="0" borderId="23" xfId="609" applyNumberFormat="1" applyFont="1" applyBorder="1" applyAlignment="1">
      <alignment horizontal="center" vertical="center"/>
      <protection/>
    </xf>
    <xf numFmtId="3" fontId="18" fillId="0" borderId="20" xfId="609" applyNumberFormat="1" applyFont="1" applyBorder="1" applyAlignment="1">
      <alignment horizontal="center" vertical="center" wrapText="1"/>
      <protection/>
    </xf>
    <xf numFmtId="3" fontId="81" fillId="0" borderId="42" xfId="609" applyNumberFormat="1" applyFont="1" applyBorder="1" applyAlignment="1">
      <alignment horizontal="left" vertical="center" wrapText="1"/>
      <protection/>
    </xf>
    <xf numFmtId="3" fontId="18" fillId="0" borderId="25" xfId="609" applyNumberFormat="1" applyFont="1" applyBorder="1" applyAlignment="1">
      <alignment horizontal="center" wrapText="1"/>
      <protection/>
    </xf>
    <xf numFmtId="3" fontId="104" fillId="0" borderId="0" xfId="609" applyNumberFormat="1" applyFont="1" applyBorder="1" applyAlignment="1">
      <alignment horizontal="left" wrapText="1"/>
      <protection/>
    </xf>
    <xf numFmtId="168" fontId="81" fillId="0" borderId="38" xfId="617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3" fontId="18" fillId="0" borderId="25" xfId="609" applyNumberFormat="1" applyFont="1" applyBorder="1" applyAlignment="1">
      <alignment horizontal="center" vertical="center"/>
      <protection/>
    </xf>
    <xf numFmtId="6" fontId="105" fillId="0" borderId="0" xfId="101" applyNumberFormat="1" applyFont="1" applyFill="1" applyBorder="1" applyAlignment="1">
      <alignment vertical="center" wrapText="1"/>
      <protection/>
    </xf>
    <xf numFmtId="168" fontId="105" fillId="0" borderId="38" xfId="6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05" fillId="0" borderId="0" xfId="609" applyNumberFormat="1" applyFont="1" applyBorder="1" applyAlignment="1">
      <alignment vertical="center" wrapText="1"/>
      <protection/>
    </xf>
    <xf numFmtId="6" fontId="0" fillId="0" borderId="0" xfId="0" applyNumberFormat="1" applyFont="1" applyAlignment="1">
      <alignment vertical="center"/>
    </xf>
    <xf numFmtId="3" fontId="106" fillId="0" borderId="0" xfId="609" applyNumberFormat="1" applyFont="1" applyBorder="1" applyAlignment="1">
      <alignment vertical="center" wrapText="1"/>
      <protection/>
    </xf>
    <xf numFmtId="168" fontId="106" fillId="0" borderId="38" xfId="617" applyNumberFormat="1" applyFont="1" applyBorder="1" applyAlignment="1">
      <alignment vertical="center"/>
    </xf>
    <xf numFmtId="3" fontId="104" fillId="0" borderId="0" xfId="609" applyNumberFormat="1" applyFont="1" applyBorder="1" applyAlignment="1">
      <alignment horizontal="left" vertical="center" wrapText="1"/>
      <protection/>
    </xf>
    <xf numFmtId="3" fontId="18" fillId="0" borderId="25" xfId="609" applyNumberFormat="1" applyFont="1" applyBorder="1" applyAlignment="1">
      <alignment horizontal="center"/>
      <protection/>
    </xf>
    <xf numFmtId="168" fontId="4" fillId="0" borderId="38" xfId="617" applyNumberFormat="1" applyFont="1" applyBorder="1" applyAlignment="1">
      <alignment/>
    </xf>
    <xf numFmtId="3" fontId="18" fillId="0" borderId="41" xfId="609" applyNumberFormat="1" applyFont="1" applyBorder="1" applyAlignment="1">
      <alignment horizontal="center"/>
      <protection/>
    </xf>
    <xf numFmtId="168" fontId="4" fillId="0" borderId="46" xfId="617" applyNumberFormat="1" applyFont="1" applyBorder="1" applyAlignment="1">
      <alignment/>
    </xf>
    <xf numFmtId="168" fontId="82" fillId="0" borderId="23" xfId="617" applyNumberFormat="1" applyFont="1" applyBorder="1" applyAlignment="1">
      <alignment vertical="center"/>
    </xf>
    <xf numFmtId="3" fontId="1" fillId="0" borderId="0" xfId="611" applyNumberFormat="1" applyFont="1">
      <alignment/>
      <protection/>
    </xf>
    <xf numFmtId="3" fontId="1" fillId="0" borderId="0" xfId="611" applyNumberFormat="1" applyFont="1" applyAlignment="1">
      <alignment horizontal="center"/>
      <protection/>
    </xf>
    <xf numFmtId="3" fontId="1" fillId="0" borderId="20" xfId="611" applyNumberFormat="1" applyFont="1" applyBorder="1" applyAlignment="1">
      <alignment horizontal="center" vertical="center" wrapText="1"/>
      <protection/>
    </xf>
    <xf numFmtId="3" fontId="1" fillId="0" borderId="23" xfId="611" applyNumberFormat="1" applyFont="1" applyBorder="1" applyAlignment="1">
      <alignment horizontal="center" vertical="center" wrapText="1"/>
      <protection/>
    </xf>
    <xf numFmtId="3" fontId="1" fillId="0" borderId="0" xfId="611" applyNumberFormat="1" applyFont="1">
      <alignment/>
      <protection/>
    </xf>
    <xf numFmtId="3" fontId="1" fillId="0" borderId="38" xfId="611" applyNumberFormat="1" applyFont="1" applyBorder="1" applyAlignment="1">
      <alignment horizontal="left" wrapText="1"/>
      <protection/>
    </xf>
    <xf numFmtId="3" fontId="37" fillId="0" borderId="0" xfId="611" applyNumberFormat="1" applyFont="1" applyBorder="1" applyAlignment="1">
      <alignment/>
      <protection/>
    </xf>
    <xf numFmtId="3" fontId="1" fillId="0" borderId="0" xfId="611" applyNumberFormat="1" applyFont="1" applyBorder="1" applyAlignment="1">
      <alignment/>
      <protection/>
    </xf>
    <xf numFmtId="3" fontId="22" fillId="0" borderId="68" xfId="611" applyNumberFormat="1" applyFont="1" applyBorder="1" applyAlignment="1">
      <alignment vertical="center"/>
      <protection/>
    </xf>
    <xf numFmtId="3" fontId="22" fillId="0" borderId="69" xfId="611" applyNumberFormat="1" applyFont="1" applyBorder="1" applyAlignment="1">
      <alignment vertical="center"/>
      <protection/>
    </xf>
    <xf numFmtId="3" fontId="22" fillId="0" borderId="20" xfId="611" applyNumberFormat="1" applyFont="1" applyBorder="1" applyAlignment="1">
      <alignment vertical="center"/>
      <protection/>
    </xf>
    <xf numFmtId="3" fontId="22" fillId="0" borderId="0" xfId="611" applyNumberFormat="1" applyFont="1" applyAlignment="1">
      <alignment vertical="center"/>
      <protection/>
    </xf>
    <xf numFmtId="3" fontId="22" fillId="0" borderId="0" xfId="611" applyNumberFormat="1" applyFont="1" applyAlignment="1">
      <alignment horizontal="center"/>
      <protection/>
    </xf>
    <xf numFmtId="3" fontId="20" fillId="0" borderId="0" xfId="611" applyNumberFormat="1" applyFont="1" applyAlignment="1">
      <alignment vertical="top"/>
      <protection/>
    </xf>
    <xf numFmtId="3" fontId="1" fillId="0" borderId="24" xfId="611" applyNumberFormat="1" applyFont="1" applyBorder="1" applyAlignment="1">
      <alignment horizontal="center" vertical="center" wrapText="1"/>
      <protection/>
    </xf>
    <xf numFmtId="3" fontId="1" fillId="0" borderId="20" xfId="611" applyNumberFormat="1" applyFont="1" applyBorder="1" applyAlignment="1">
      <alignment horizontal="center" vertical="center" wrapText="1"/>
      <protection/>
    </xf>
    <xf numFmtId="3" fontId="88" fillId="0" borderId="0" xfId="611" applyNumberFormat="1" applyFont="1" applyBorder="1" applyAlignment="1">
      <alignment/>
      <protection/>
    </xf>
    <xf numFmtId="3" fontId="20" fillId="0" borderId="0" xfId="611" applyNumberFormat="1" applyFont="1" applyAlignment="1">
      <alignment/>
      <protection/>
    </xf>
    <xf numFmtId="3" fontId="20" fillId="0" borderId="0" xfId="611" applyNumberFormat="1" applyFont="1">
      <alignment/>
      <protection/>
    </xf>
    <xf numFmtId="3" fontId="79" fillId="0" borderId="0" xfId="611" applyNumberFormat="1" applyFont="1">
      <alignment/>
      <protection/>
    </xf>
    <xf numFmtId="3" fontId="70" fillId="0" borderId="25" xfId="611" applyNumberFormat="1" applyFont="1" applyBorder="1">
      <alignment/>
      <protection/>
    </xf>
    <xf numFmtId="0" fontId="71" fillId="0" borderId="0" xfId="0" applyFont="1" applyAlignment="1">
      <alignment horizontal="center"/>
    </xf>
    <xf numFmtId="0" fontId="0" fillId="0" borderId="0" xfId="0" applyFont="1" applyAlignment="1">
      <alignment wrapText="1"/>
    </xf>
    <xf numFmtId="167" fontId="0" fillId="0" borderId="0" xfId="583" applyNumberFormat="1" applyFont="1" applyAlignment="1">
      <alignment horizontal="center"/>
    </xf>
    <xf numFmtId="167" fontId="0" fillId="0" borderId="0" xfId="583" applyNumberFormat="1" applyFont="1" applyAlignment="1">
      <alignment/>
    </xf>
    <xf numFmtId="167" fontId="0" fillId="0" borderId="0" xfId="583" applyNumberFormat="1" applyFont="1" applyBorder="1" applyAlignment="1">
      <alignment/>
    </xf>
    <xf numFmtId="167" fontId="0" fillId="0" borderId="0" xfId="583" applyNumberFormat="1" applyFont="1" applyBorder="1" applyAlignment="1">
      <alignment/>
    </xf>
    <xf numFmtId="167" fontId="0" fillId="0" borderId="0" xfId="583" applyNumberFormat="1" applyFont="1" applyAlignment="1">
      <alignment/>
    </xf>
    <xf numFmtId="0" fontId="91" fillId="0" borderId="0" xfId="0" applyFont="1" applyAlignment="1">
      <alignment/>
    </xf>
    <xf numFmtId="0" fontId="91" fillId="0" borderId="0" xfId="0" applyFont="1" applyBorder="1" applyAlignment="1">
      <alignment/>
    </xf>
    <xf numFmtId="167" fontId="107" fillId="0" borderId="0" xfId="583" applyNumberFormat="1" applyFont="1" applyBorder="1" applyAlignment="1">
      <alignment/>
    </xf>
    <xf numFmtId="167" fontId="107" fillId="0" borderId="0" xfId="583" applyNumberFormat="1" applyFont="1" applyAlignment="1">
      <alignment/>
    </xf>
    <xf numFmtId="0" fontId="107" fillId="0" borderId="0" xfId="0" applyFont="1" applyAlignment="1">
      <alignment/>
    </xf>
    <xf numFmtId="0" fontId="107" fillId="0" borderId="0" xfId="0" applyFont="1" applyBorder="1" applyAlignment="1">
      <alignment/>
    </xf>
    <xf numFmtId="0" fontId="7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67" fontId="0" fillId="0" borderId="0" xfId="583" applyNumberFormat="1" applyFont="1" applyAlignment="1">
      <alignment horizontal="center" vertical="center"/>
    </xf>
    <xf numFmtId="167" fontId="0" fillId="0" borderId="0" xfId="583" applyNumberFormat="1" applyFont="1" applyAlignment="1">
      <alignment vertical="center"/>
    </xf>
    <xf numFmtId="0" fontId="71" fillId="0" borderId="50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 wrapText="1"/>
    </xf>
    <xf numFmtId="167" fontId="71" fillId="0" borderId="21" xfId="583" applyNumberFormat="1" applyFont="1" applyBorder="1" applyAlignment="1">
      <alignment horizontal="center" vertical="center"/>
    </xf>
    <xf numFmtId="167" fontId="71" fillId="0" borderId="23" xfId="583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1" fillId="18" borderId="24" xfId="0" applyFont="1" applyFill="1" applyBorder="1" applyAlignment="1">
      <alignment vertical="center"/>
    </xf>
    <xf numFmtId="0" fontId="1" fillId="18" borderId="21" xfId="0" applyFont="1" applyFill="1" applyBorder="1" applyAlignment="1">
      <alignment horizontal="center" vertical="center" wrapText="1"/>
    </xf>
    <xf numFmtId="167" fontId="1" fillId="18" borderId="21" xfId="583" applyNumberFormat="1" applyFont="1" applyFill="1" applyBorder="1" applyAlignment="1">
      <alignment horizontal="center" vertical="center" wrapText="1"/>
    </xf>
    <xf numFmtId="167" fontId="1" fillId="18" borderId="21" xfId="583" applyNumberFormat="1" applyFont="1" applyFill="1" applyBorder="1" applyAlignment="1">
      <alignment horizontal="center" vertical="center"/>
    </xf>
    <xf numFmtId="167" fontId="1" fillId="18" borderId="23" xfId="583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17" fillId="0" borderId="26" xfId="0" applyFont="1" applyFill="1" applyBorder="1" applyAlignment="1">
      <alignment/>
    </xf>
    <xf numFmtId="167" fontId="0" fillId="0" borderId="38" xfId="583" applyNumberFormat="1" applyFont="1" applyBorder="1" applyAlignment="1">
      <alignment/>
    </xf>
    <xf numFmtId="0" fontId="0" fillId="0" borderId="26" xfId="0" applyFont="1" applyFill="1" applyBorder="1" applyAlignment="1">
      <alignment vertical="center" wrapText="1"/>
    </xf>
    <xf numFmtId="167" fontId="0" fillId="0" borderId="0" xfId="583" applyNumberFormat="1" applyFont="1" applyBorder="1" applyAlignment="1">
      <alignment horizontal="center" vertical="center"/>
    </xf>
    <xf numFmtId="167" fontId="0" fillId="0" borderId="48" xfId="583" applyNumberFormat="1" applyFont="1" applyBorder="1" applyAlignment="1">
      <alignment/>
    </xf>
    <xf numFmtId="167" fontId="0" fillId="0" borderId="46" xfId="583" applyNumberFormat="1" applyFont="1" applyBorder="1" applyAlignment="1">
      <alignment/>
    </xf>
    <xf numFmtId="0" fontId="1" fillId="18" borderId="21" xfId="0" applyFont="1" applyFill="1" applyBorder="1" applyAlignment="1">
      <alignment vertical="center" wrapText="1"/>
    </xf>
    <xf numFmtId="167" fontId="1" fillId="18" borderId="21" xfId="583" applyNumberFormat="1" applyFont="1" applyFill="1" applyBorder="1" applyAlignment="1">
      <alignment vertical="center"/>
    </xf>
    <xf numFmtId="167" fontId="1" fillId="18" borderId="23" xfId="583" applyNumberFormat="1" applyFont="1" applyFill="1" applyBorder="1" applyAlignment="1">
      <alignment vertical="center"/>
    </xf>
    <xf numFmtId="3" fontId="20" fillId="0" borderId="48" xfId="611" applyNumberFormat="1" applyFont="1" applyBorder="1" applyAlignment="1">
      <alignment/>
      <protection/>
    </xf>
    <xf numFmtId="6" fontId="84" fillId="0" borderId="48" xfId="101" applyNumberFormat="1" applyFont="1" applyFill="1" applyBorder="1" applyAlignment="1">
      <alignment wrapText="1"/>
      <protection/>
    </xf>
    <xf numFmtId="168" fontId="88" fillId="0" borderId="38" xfId="617" applyNumberFormat="1" applyFont="1" applyBorder="1" applyAlignment="1">
      <alignment horizontal="center" wrapText="1"/>
    </xf>
    <xf numFmtId="3" fontId="37" fillId="0" borderId="20" xfId="609" applyNumberFormat="1" applyFont="1" applyBorder="1" applyAlignment="1">
      <alignment horizontal="center" vertical="center"/>
      <protection/>
    </xf>
    <xf numFmtId="3" fontId="37" fillId="0" borderId="24" xfId="609" applyNumberFormat="1" applyFont="1" applyBorder="1" applyAlignment="1">
      <alignment horizontal="center" vertical="center"/>
      <protection/>
    </xf>
    <xf numFmtId="3" fontId="37" fillId="0" borderId="23" xfId="609" applyNumberFormat="1" applyFont="1" applyBorder="1" applyAlignment="1">
      <alignment horizontal="center" vertical="center"/>
      <protection/>
    </xf>
    <xf numFmtId="3" fontId="37" fillId="0" borderId="20" xfId="609" applyNumberFormat="1" applyFont="1" applyBorder="1" applyAlignment="1">
      <alignment horizontal="center" vertical="center" wrapText="1"/>
      <protection/>
    </xf>
    <xf numFmtId="3" fontId="37" fillId="0" borderId="25" xfId="609" applyNumberFormat="1" applyFont="1" applyBorder="1" applyAlignment="1">
      <alignment horizontal="center" wrapText="1"/>
      <protection/>
    </xf>
    <xf numFmtId="3" fontId="37" fillId="0" borderId="25" xfId="609" applyNumberFormat="1" applyFont="1" applyBorder="1" applyAlignment="1">
      <alignment horizontal="center" vertical="center"/>
      <protection/>
    </xf>
    <xf numFmtId="3" fontId="37" fillId="0" borderId="25" xfId="609" applyNumberFormat="1" applyFont="1" applyBorder="1" applyAlignment="1">
      <alignment horizontal="center"/>
      <protection/>
    </xf>
    <xf numFmtId="3" fontId="84" fillId="0" borderId="0" xfId="609" applyNumberFormat="1" applyFont="1" applyBorder="1" applyAlignment="1">
      <alignment wrapText="1"/>
      <protection/>
    </xf>
    <xf numFmtId="168" fontId="84" fillId="0" borderId="38" xfId="617" applyNumberFormat="1" applyFont="1" applyBorder="1" applyAlignment="1">
      <alignment/>
    </xf>
    <xf numFmtId="3" fontId="37" fillId="0" borderId="41" xfId="609" applyNumberFormat="1" applyFont="1" applyBorder="1" applyAlignment="1">
      <alignment horizontal="center"/>
      <protection/>
    </xf>
    <xf numFmtId="3" fontId="84" fillId="0" borderId="48" xfId="609" applyNumberFormat="1" applyFont="1" applyBorder="1" applyAlignment="1">
      <alignment wrapText="1"/>
      <protection/>
    </xf>
    <xf numFmtId="168" fontId="84" fillId="0" borderId="46" xfId="617" applyNumberFormat="1" applyFont="1" applyBorder="1" applyAlignment="1">
      <alignment/>
    </xf>
    <xf numFmtId="3" fontId="88" fillId="0" borderId="21" xfId="609" applyNumberFormat="1" applyFont="1" applyBorder="1" applyAlignment="1">
      <alignment vertical="center" wrapText="1"/>
      <protection/>
    </xf>
    <xf numFmtId="168" fontId="88" fillId="0" borderId="23" xfId="617" applyNumberFormat="1" applyFont="1" applyBorder="1" applyAlignment="1">
      <alignment vertical="center"/>
    </xf>
    <xf numFmtId="5" fontId="84" fillId="0" borderId="0" xfId="617" applyNumberFormat="1" applyFont="1" applyFill="1" applyAlignment="1">
      <alignment vertical="center" wrapText="1"/>
    </xf>
    <xf numFmtId="168" fontId="0" fillId="0" borderId="0" xfId="0" applyNumberFormat="1" applyFont="1" applyAlignment="1">
      <alignment vertical="center"/>
    </xf>
    <xf numFmtId="167" fontId="0" fillId="0" borderId="0" xfId="583" applyNumberFormat="1" applyFont="1" applyAlignment="1">
      <alignment vertical="center"/>
    </xf>
    <xf numFmtId="3" fontId="88" fillId="0" borderId="0" xfId="609" applyNumberFormat="1" applyFont="1" applyBorder="1" applyAlignment="1">
      <alignment horizontal="left" vertical="center" wrapText="1"/>
      <protection/>
    </xf>
    <xf numFmtId="3" fontId="88" fillId="0" borderId="38" xfId="609" applyNumberFormat="1" applyFont="1" applyBorder="1" applyAlignment="1">
      <alignment horizontal="centerContinuous" vertical="center" wrapText="1"/>
      <protection/>
    </xf>
    <xf numFmtId="0" fontId="17" fillId="0" borderId="0" xfId="608" applyFont="1" applyAlignment="1">
      <alignment horizontal="centerContinuous"/>
      <protection/>
    </xf>
    <xf numFmtId="0" fontId="0" fillId="0" borderId="0" xfId="608" applyFont="1" applyAlignment="1">
      <alignment horizontal="centerContinuous"/>
      <protection/>
    </xf>
    <xf numFmtId="0" fontId="7" fillId="0" borderId="0" xfId="608" applyFont="1" applyAlignment="1">
      <alignment horizontal="centerContinuous"/>
      <protection/>
    </xf>
    <xf numFmtId="49" fontId="17" fillId="0" borderId="0" xfId="608" applyNumberFormat="1" applyFont="1" applyAlignment="1">
      <alignment horizontal="right"/>
      <protection/>
    </xf>
    <xf numFmtId="0" fontId="17" fillId="0" borderId="0" xfId="608" applyFont="1">
      <alignment/>
      <protection/>
    </xf>
    <xf numFmtId="0" fontId="0" fillId="0" borderId="0" xfId="608" applyFont="1" applyAlignment="1">
      <alignment horizontal="right"/>
      <protection/>
    </xf>
    <xf numFmtId="0" fontId="0" fillId="0" borderId="0" xfId="608" applyFont="1">
      <alignment/>
      <protection/>
    </xf>
    <xf numFmtId="0" fontId="94" fillId="0" borderId="0" xfId="608" applyFont="1" applyAlignment="1">
      <alignment horizontal="centerContinuous"/>
      <protection/>
    </xf>
    <xf numFmtId="0" fontId="95" fillId="0" borderId="0" xfId="608" applyFont="1" applyAlignment="1">
      <alignment horizontal="centerContinuous"/>
      <protection/>
    </xf>
    <xf numFmtId="0" fontId="108" fillId="0" borderId="0" xfId="608" applyFont="1" applyAlignment="1">
      <alignment horizontal="centerContinuous"/>
      <protection/>
    </xf>
    <xf numFmtId="49" fontId="94" fillId="0" borderId="0" xfId="608" applyNumberFormat="1" applyFont="1" applyAlignment="1">
      <alignment horizontal="right"/>
      <protection/>
    </xf>
    <xf numFmtId="0" fontId="94" fillId="0" borderId="0" xfId="608" applyFont="1">
      <alignment/>
      <protection/>
    </xf>
    <xf numFmtId="0" fontId="95" fillId="0" borderId="0" xfId="608" applyFont="1" applyAlignment="1">
      <alignment horizontal="right"/>
      <protection/>
    </xf>
    <xf numFmtId="0" fontId="95" fillId="0" borderId="0" xfId="608" applyFont="1">
      <alignment/>
      <protection/>
    </xf>
    <xf numFmtId="0" fontId="109" fillId="0" borderId="0" xfId="608" applyFont="1">
      <alignment/>
      <protection/>
    </xf>
    <xf numFmtId="0" fontId="110" fillId="0" borderId="0" xfId="608" applyFont="1" applyAlignment="1">
      <alignment horizontal="centerContinuous"/>
      <protection/>
    </xf>
    <xf numFmtId="0" fontId="111" fillId="0" borderId="0" xfId="608" applyFont="1" applyAlignment="1">
      <alignment horizontal="centerContinuous"/>
      <protection/>
    </xf>
    <xf numFmtId="0" fontId="110" fillId="0" borderId="0" xfId="608" applyNumberFormat="1" applyFont="1" applyAlignment="1">
      <alignment horizontal="right"/>
      <protection/>
    </xf>
    <xf numFmtId="0" fontId="110" fillId="0" borderId="0" xfId="608" applyFont="1" applyAlignment="1">
      <alignment/>
      <protection/>
    </xf>
    <xf numFmtId="0" fontId="110" fillId="0" borderId="0" xfId="608" applyFont="1">
      <alignment/>
      <protection/>
    </xf>
    <xf numFmtId="0" fontId="112" fillId="0" borderId="0" xfId="608" applyFont="1">
      <alignment/>
      <protection/>
    </xf>
    <xf numFmtId="0" fontId="113" fillId="0" borderId="0" xfId="608" applyFont="1" applyAlignment="1">
      <alignment horizontal="centerContinuous"/>
      <protection/>
    </xf>
    <xf numFmtId="0" fontId="37" fillId="0" borderId="0" xfId="608" applyFont="1" applyAlignment="1">
      <alignment horizontal="centerContinuous"/>
      <protection/>
    </xf>
    <xf numFmtId="0" fontId="113" fillId="0" borderId="0" xfId="608" applyNumberFormat="1" applyFont="1" applyAlignment="1">
      <alignment horizontal="right"/>
      <protection/>
    </xf>
    <xf numFmtId="0" fontId="113" fillId="0" borderId="0" xfId="608" applyFont="1" applyAlignment="1">
      <alignment/>
      <protection/>
    </xf>
    <xf numFmtId="0" fontId="37" fillId="0" borderId="0" xfId="608" applyFont="1" applyAlignment="1">
      <alignment/>
      <protection/>
    </xf>
    <xf numFmtId="0" fontId="113" fillId="0" borderId="0" xfId="608" applyFont="1" applyAlignment="1">
      <alignment horizontal="right"/>
      <protection/>
    </xf>
    <xf numFmtId="0" fontId="114" fillId="0" borderId="0" xfId="608" applyFont="1">
      <alignment/>
      <protection/>
    </xf>
    <xf numFmtId="0" fontId="115" fillId="0" borderId="0" xfId="608" applyFont="1" applyAlignment="1">
      <alignment/>
      <protection/>
    </xf>
    <xf numFmtId="0" fontId="116" fillId="0" borderId="0" xfId="608" applyFont="1" applyAlignment="1">
      <alignment horizontal="right"/>
      <protection/>
    </xf>
    <xf numFmtId="0" fontId="116" fillId="0" borderId="0" xfId="608" applyFont="1">
      <alignment/>
      <protection/>
    </xf>
    <xf numFmtId="0" fontId="116" fillId="0" borderId="0" xfId="608" applyFont="1" applyAlignment="1">
      <alignment horizontal="centerContinuous"/>
      <protection/>
    </xf>
    <xf numFmtId="0" fontId="117" fillId="0" borderId="0" xfId="608" applyFont="1" applyAlignment="1">
      <alignment horizontal="centerContinuous"/>
      <protection/>
    </xf>
    <xf numFmtId="49" fontId="116" fillId="0" borderId="0" xfId="608" applyNumberFormat="1" applyFont="1" applyAlignment="1">
      <alignment horizontal="right"/>
      <protection/>
    </xf>
    <xf numFmtId="0" fontId="36" fillId="0" borderId="0" xfId="608" applyFont="1" applyAlignment="1">
      <alignment horizontal="centerContinuous"/>
      <protection/>
    </xf>
    <xf numFmtId="49" fontId="36" fillId="0" borderId="0" xfId="608" applyNumberFormat="1" applyFont="1" applyAlignment="1">
      <alignment horizontal="right"/>
      <protection/>
    </xf>
    <xf numFmtId="0" fontId="36" fillId="0" borderId="0" xfId="608" applyFont="1" applyAlignment="1">
      <alignment/>
      <protection/>
    </xf>
    <xf numFmtId="0" fontId="36" fillId="0" borderId="0" xfId="608" applyFont="1" applyAlignment="1">
      <alignment horizontal="right"/>
      <protection/>
    </xf>
    <xf numFmtId="0" fontId="36" fillId="0" borderId="0" xfId="608" applyFont="1">
      <alignment/>
      <protection/>
    </xf>
    <xf numFmtId="0" fontId="24" fillId="0" borderId="0" xfId="608" applyFont="1">
      <alignment/>
      <protection/>
    </xf>
    <xf numFmtId="0" fontId="24" fillId="0" borderId="0" xfId="608" applyFont="1" applyAlignment="1">
      <alignment horizontal="right"/>
      <protection/>
    </xf>
    <xf numFmtId="0" fontId="1" fillId="0" borderId="0" xfId="608" applyFont="1" applyAlignment="1">
      <alignment horizontal="centerContinuous"/>
      <protection/>
    </xf>
    <xf numFmtId="49" fontId="1" fillId="0" borderId="0" xfId="608" applyNumberFormat="1" applyFont="1" applyAlignment="1">
      <alignment horizontal="right"/>
      <protection/>
    </xf>
    <xf numFmtId="0" fontId="1" fillId="0" borderId="0" xfId="608" applyFont="1" applyAlignment="1">
      <alignment/>
      <protection/>
    </xf>
    <xf numFmtId="0" fontId="1" fillId="0" borderId="0" xfId="608" applyFont="1" applyAlignment="1">
      <alignment horizontal="right"/>
      <protection/>
    </xf>
    <xf numFmtId="0" fontId="22" fillId="0" borderId="0" xfId="608" applyFont="1" applyAlignment="1">
      <alignment horizontal="right"/>
      <protection/>
    </xf>
    <xf numFmtId="0" fontId="22" fillId="0" borderId="0" xfId="608" applyFont="1" applyAlignment="1">
      <alignment/>
      <protection/>
    </xf>
    <xf numFmtId="0" fontId="7" fillId="0" borderId="0" xfId="608" applyFont="1">
      <alignment/>
      <protection/>
    </xf>
    <xf numFmtId="0" fontId="22" fillId="0" borderId="0" xfId="608" applyFont="1">
      <alignment/>
      <protection/>
    </xf>
    <xf numFmtId="0" fontId="23" fillId="0" borderId="0" xfId="608" applyFont="1">
      <alignment/>
      <protection/>
    </xf>
    <xf numFmtId="49" fontId="22" fillId="0" borderId="0" xfId="608" applyNumberFormat="1" applyFont="1" applyAlignment="1">
      <alignment horizontal="right"/>
      <protection/>
    </xf>
    <xf numFmtId="0" fontId="8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608" applyFont="1">
      <alignment/>
      <protection/>
    </xf>
    <xf numFmtId="0" fontId="20" fillId="0" borderId="0" xfId="608" applyFont="1" applyAlignment="1">
      <alignment horizontal="right"/>
      <protection/>
    </xf>
    <xf numFmtId="0" fontId="37" fillId="0" borderId="0" xfId="0" applyFont="1" applyAlignment="1">
      <alignment horizontal="right"/>
    </xf>
    <xf numFmtId="0" fontId="1" fillId="0" borderId="0" xfId="608" applyFont="1">
      <alignment/>
      <protection/>
    </xf>
    <xf numFmtId="0" fontId="84" fillId="0" borderId="0" xfId="0" applyFont="1" applyAlignment="1">
      <alignment horizontal="right"/>
    </xf>
    <xf numFmtId="0" fontId="1" fillId="0" borderId="0" xfId="608" applyFont="1">
      <alignment/>
      <protection/>
    </xf>
    <xf numFmtId="0" fontId="30" fillId="0" borderId="0" xfId="608" applyFont="1">
      <alignment/>
      <protection/>
    </xf>
    <xf numFmtId="0" fontId="118" fillId="0" borderId="0" xfId="608" applyFont="1">
      <alignment/>
      <protection/>
    </xf>
    <xf numFmtId="0" fontId="30" fillId="0" borderId="0" xfId="608" applyFont="1" applyAlignment="1">
      <alignment horizontal="right"/>
      <protection/>
    </xf>
    <xf numFmtId="0" fontId="84" fillId="0" borderId="0" xfId="608" applyFont="1">
      <alignment/>
      <protection/>
    </xf>
    <xf numFmtId="16" fontId="20" fillId="0" borderId="0" xfId="608" applyNumberFormat="1" applyFont="1" applyAlignment="1">
      <alignment horizontal="right"/>
      <protection/>
    </xf>
    <xf numFmtId="49" fontId="1" fillId="0" borderId="0" xfId="608" applyNumberFormat="1" applyFont="1" applyBorder="1" applyAlignment="1">
      <alignment horizontal="right"/>
      <protection/>
    </xf>
    <xf numFmtId="0" fontId="37" fillId="0" borderId="0" xfId="608" applyFont="1">
      <alignment/>
      <protection/>
    </xf>
    <xf numFmtId="16" fontId="1" fillId="0" borderId="0" xfId="608" applyNumberFormat="1" applyFont="1" applyAlignment="1">
      <alignment horizontal="right"/>
      <protection/>
    </xf>
    <xf numFmtId="16" fontId="1" fillId="0" borderId="0" xfId="608" applyNumberFormat="1" applyFont="1">
      <alignment/>
      <protection/>
    </xf>
    <xf numFmtId="3" fontId="7" fillId="0" borderId="0" xfId="608" applyNumberFormat="1" applyFont="1" applyBorder="1" applyAlignment="1">
      <alignment/>
      <protection/>
    </xf>
    <xf numFmtId="3" fontId="4" fillId="0" borderId="0" xfId="608" applyNumberFormat="1" applyFont="1" applyBorder="1" applyAlignment="1">
      <alignment/>
      <protection/>
    </xf>
    <xf numFmtId="3" fontId="7" fillId="0" borderId="38" xfId="608" applyNumberFormat="1" applyFont="1" applyBorder="1" applyAlignment="1">
      <alignment vertical="center"/>
      <protection/>
    </xf>
    <xf numFmtId="14" fontId="1" fillId="0" borderId="0" xfId="608" applyNumberFormat="1" applyFont="1" applyAlignment="1">
      <alignment horizontal="right"/>
      <protection/>
    </xf>
    <xf numFmtId="16" fontId="1" fillId="0" borderId="0" xfId="608" applyNumberFormat="1" applyFont="1" applyBorder="1" applyAlignment="1">
      <alignment horizontal="right"/>
      <protection/>
    </xf>
    <xf numFmtId="3" fontId="7" fillId="0" borderId="0" xfId="608" applyNumberFormat="1" applyFont="1" applyBorder="1" applyAlignment="1">
      <alignment vertical="center"/>
      <protection/>
    </xf>
    <xf numFmtId="14" fontId="1" fillId="0" borderId="0" xfId="608" applyNumberFormat="1" applyFont="1" applyBorder="1" applyAlignment="1">
      <alignment horizontal="right"/>
      <protection/>
    </xf>
    <xf numFmtId="0" fontId="20" fillId="0" borderId="0" xfId="608" applyFont="1" applyBorder="1">
      <alignment/>
      <protection/>
    </xf>
    <xf numFmtId="3" fontId="7" fillId="0" borderId="0" xfId="324" applyNumberFormat="1" applyFont="1" applyBorder="1" applyAlignment="1">
      <alignment horizontal="left" vertical="center"/>
      <protection/>
    </xf>
    <xf numFmtId="0" fontId="101" fillId="0" borderId="0" xfId="608" applyFont="1">
      <alignment/>
      <protection/>
    </xf>
    <xf numFmtId="3" fontId="101" fillId="0" borderId="0" xfId="608" applyNumberFormat="1" applyFont="1" applyBorder="1" applyAlignment="1">
      <alignment/>
      <protection/>
    </xf>
    <xf numFmtId="3" fontId="84" fillId="0" borderId="0" xfId="324" applyNumberFormat="1" applyFont="1" applyBorder="1" applyAlignment="1">
      <alignment horizontal="left" vertical="center"/>
      <protection/>
    </xf>
    <xf numFmtId="0" fontId="37" fillId="0" borderId="0" xfId="608" applyFont="1" applyAlignment="1">
      <alignment horizontal="right"/>
      <protection/>
    </xf>
    <xf numFmtId="0" fontId="37" fillId="0" borderId="0" xfId="0" applyFont="1" applyAlignment="1">
      <alignment/>
    </xf>
    <xf numFmtId="0" fontId="20" fillId="0" borderId="0" xfId="608" applyNumberFormat="1" applyFont="1">
      <alignment/>
      <protection/>
    </xf>
    <xf numFmtId="0" fontId="1" fillId="0" borderId="0" xfId="608" applyNumberFormat="1" applyFont="1">
      <alignment/>
      <protection/>
    </xf>
    <xf numFmtId="0" fontId="1" fillId="0" borderId="0" xfId="0" applyFont="1" applyAlignment="1">
      <alignment/>
    </xf>
    <xf numFmtId="3" fontId="119" fillId="0" borderId="25" xfId="611" applyNumberFormat="1" applyFont="1" applyBorder="1" applyAlignment="1">
      <alignment horizontal="center"/>
      <protection/>
    </xf>
    <xf numFmtId="3" fontId="120" fillId="0" borderId="0" xfId="611" applyNumberFormat="1" applyFont="1" applyBorder="1" applyAlignment="1">
      <alignment/>
      <protection/>
    </xf>
    <xf numFmtId="3" fontId="121" fillId="0" borderId="0" xfId="0" applyNumberFormat="1" applyFont="1" applyAlignment="1">
      <alignment horizontal="left" wrapText="1"/>
    </xf>
    <xf numFmtId="3" fontId="121" fillId="0" borderId="25" xfId="611" applyNumberFormat="1" applyFont="1" applyBorder="1">
      <alignment/>
      <protection/>
    </xf>
    <xf numFmtId="3" fontId="120" fillId="0" borderId="26" xfId="611" applyNumberFormat="1" applyFont="1" applyBorder="1">
      <alignment/>
      <protection/>
    </xf>
    <xf numFmtId="3" fontId="122" fillId="0" borderId="25" xfId="611" applyNumberFormat="1" applyFont="1" applyBorder="1">
      <alignment/>
      <protection/>
    </xf>
    <xf numFmtId="3" fontId="121" fillId="0" borderId="0" xfId="611" applyNumberFormat="1" applyFont="1">
      <alignment/>
      <protection/>
    </xf>
    <xf numFmtId="6" fontId="121" fillId="0" borderId="0" xfId="101" applyNumberFormat="1" applyFont="1" applyFill="1" applyBorder="1" applyAlignment="1">
      <alignment wrapText="1"/>
      <protection/>
    </xf>
    <xf numFmtId="3" fontId="121" fillId="0" borderId="0" xfId="611" applyNumberFormat="1" applyFont="1" applyBorder="1">
      <alignment/>
      <protection/>
    </xf>
    <xf numFmtId="3" fontId="60" fillId="0" borderId="0" xfId="611" applyNumberFormat="1" applyFont="1" applyBorder="1">
      <alignment/>
      <protection/>
    </xf>
    <xf numFmtId="3" fontId="22" fillId="0" borderId="0" xfId="611" applyNumberFormat="1" applyFont="1" applyBorder="1" applyAlignment="1">
      <alignment/>
      <protection/>
    </xf>
    <xf numFmtId="0" fontId="123" fillId="0" borderId="0" xfId="611" applyFont="1">
      <alignment/>
      <protection/>
    </xf>
    <xf numFmtId="0" fontId="116" fillId="0" borderId="0" xfId="608" applyFont="1" applyAlignment="1">
      <alignment horizontal="center" wrapText="1"/>
      <protection/>
    </xf>
    <xf numFmtId="0" fontId="116" fillId="0" borderId="0" xfId="608" applyFont="1" applyAlignment="1">
      <alignment horizontal="center"/>
      <protection/>
    </xf>
    <xf numFmtId="0" fontId="22" fillId="0" borderId="0" xfId="608" applyFont="1" applyAlignment="1">
      <alignment horizontal="center"/>
      <protection/>
    </xf>
    <xf numFmtId="0" fontId="109" fillId="0" borderId="0" xfId="608" applyFont="1" applyAlignment="1">
      <alignment horizontal="center"/>
      <protection/>
    </xf>
    <xf numFmtId="0" fontId="112" fillId="0" borderId="0" xfId="608" applyFont="1" applyAlignment="1">
      <alignment horizontal="center"/>
      <protection/>
    </xf>
    <xf numFmtId="0" fontId="24" fillId="0" borderId="0" xfId="608" applyFont="1" applyAlignment="1">
      <alignment horizontal="center"/>
      <protection/>
    </xf>
    <xf numFmtId="0" fontId="115" fillId="0" borderId="0" xfId="608" applyFont="1" applyAlignment="1">
      <alignment horizontal="center"/>
      <protection/>
    </xf>
    <xf numFmtId="3" fontId="36" fillId="0" borderId="0" xfId="608" applyNumberFormat="1" applyFont="1" applyFill="1" applyBorder="1" applyAlignment="1">
      <alignment horizontal="center" vertical="center" wrapText="1"/>
      <protection/>
    </xf>
    <xf numFmtId="3" fontId="1" fillId="0" borderId="72" xfId="608" applyNumberFormat="1" applyFont="1" applyFill="1" applyBorder="1" applyAlignment="1">
      <alignment horizontal="right" wrapText="1"/>
      <protection/>
    </xf>
    <xf numFmtId="3" fontId="1" fillId="0" borderId="58" xfId="608" applyNumberFormat="1" applyFont="1" applyFill="1" applyBorder="1" applyAlignment="1">
      <alignment horizontal="left" vertical="center" wrapText="1"/>
      <protection/>
    </xf>
    <xf numFmtId="3" fontId="1" fillId="0" borderId="0" xfId="608" applyNumberFormat="1" applyFont="1" applyFill="1" applyBorder="1" applyAlignment="1">
      <alignment horizontal="left" vertical="center" wrapText="1"/>
      <protection/>
    </xf>
    <xf numFmtId="167" fontId="17" fillId="0" borderId="0" xfId="583" applyNumberFormat="1" applyFont="1" applyAlignment="1">
      <alignment horizontal="center" vertical="center"/>
    </xf>
    <xf numFmtId="0" fontId="107" fillId="0" borderId="0" xfId="0" applyFont="1" applyAlignment="1">
      <alignment horizontal="center"/>
    </xf>
    <xf numFmtId="3" fontId="91" fillId="0" borderId="0" xfId="608" applyNumberFormat="1" applyFont="1" applyAlignment="1">
      <alignment horizontal="center"/>
      <protection/>
    </xf>
    <xf numFmtId="3" fontId="91" fillId="0" borderId="0" xfId="608" applyNumberFormat="1" applyFont="1" applyAlignment="1">
      <alignment horizontal="center" wrapText="1"/>
      <protection/>
    </xf>
    <xf numFmtId="3" fontId="94" fillId="0" borderId="0" xfId="608" applyNumberFormat="1" applyFont="1" applyAlignment="1">
      <alignment horizontal="center"/>
      <protection/>
    </xf>
    <xf numFmtId="3" fontId="22" fillId="0" borderId="0" xfId="611" applyNumberFormat="1" applyFont="1" applyAlignment="1">
      <alignment horizontal="center"/>
      <protection/>
    </xf>
    <xf numFmtId="3" fontId="21" fillId="0" borderId="0" xfId="611" applyNumberFormat="1" applyFont="1" applyAlignment="1">
      <alignment horizontal="center"/>
      <protection/>
    </xf>
    <xf numFmtId="3" fontId="1" fillId="0" borderId="73" xfId="611" applyNumberFormat="1" applyFont="1" applyBorder="1" applyAlignment="1">
      <alignment horizontal="center"/>
      <protection/>
    </xf>
    <xf numFmtId="3" fontId="1" fillId="0" borderId="74" xfId="611" applyNumberFormat="1" applyFont="1" applyBorder="1" applyAlignment="1">
      <alignment horizontal="center"/>
      <protection/>
    </xf>
    <xf numFmtId="3" fontId="1" fillId="0" borderId="75" xfId="611" applyNumberFormat="1" applyFont="1" applyBorder="1" applyAlignment="1">
      <alignment horizontal="center"/>
      <protection/>
    </xf>
    <xf numFmtId="3" fontId="1" fillId="0" borderId="0" xfId="611" applyNumberFormat="1" applyFont="1" applyAlignment="1">
      <alignment horizontal="center"/>
      <protection/>
    </xf>
    <xf numFmtId="3" fontId="1" fillId="0" borderId="76" xfId="611" applyNumberFormat="1" applyFont="1" applyBorder="1" applyAlignment="1">
      <alignment horizontal="center"/>
      <protection/>
    </xf>
    <xf numFmtId="3" fontId="1" fillId="0" borderId="77" xfId="611" applyNumberFormat="1" applyFont="1" applyBorder="1" applyAlignment="1">
      <alignment horizontal="center"/>
      <protection/>
    </xf>
    <xf numFmtId="3" fontId="96" fillId="0" borderId="0" xfId="609" applyNumberFormat="1" applyFont="1" applyBorder="1" applyAlignment="1">
      <alignment horizontal="center" vertical="center" wrapText="1"/>
      <protection/>
    </xf>
    <xf numFmtId="3" fontId="18" fillId="0" borderId="0" xfId="609" applyNumberFormat="1" applyFont="1" applyBorder="1" applyAlignment="1">
      <alignment horizontal="left" wrapText="1"/>
      <protection/>
    </xf>
    <xf numFmtId="3" fontId="34" fillId="0" borderId="0" xfId="609" applyNumberFormat="1" applyFont="1" applyAlignment="1">
      <alignment horizontal="center" wrapText="1"/>
      <protection/>
    </xf>
    <xf numFmtId="0" fontId="94" fillId="0" borderId="0" xfId="611" applyFont="1" applyAlignment="1">
      <alignment horizontal="center"/>
      <protection/>
    </xf>
    <xf numFmtId="0" fontId="24" fillId="0" borderId="0" xfId="611" applyFont="1" applyAlignment="1">
      <alignment horizontal="center"/>
      <protection/>
    </xf>
    <xf numFmtId="6" fontId="23" fillId="0" borderId="26" xfId="101" applyNumberFormat="1" applyFont="1" applyFill="1" applyBorder="1" applyAlignment="1">
      <alignment horizontal="left" vertical="center" wrapText="1"/>
      <protection/>
    </xf>
    <xf numFmtId="6" fontId="23" fillId="0" borderId="38" xfId="101" applyNumberFormat="1" applyFont="1" applyFill="1" applyBorder="1" applyAlignment="1">
      <alignment horizontal="left" vertical="center" wrapText="1"/>
      <protection/>
    </xf>
    <xf numFmtId="0" fontId="94" fillId="0" borderId="0" xfId="611" applyFont="1" applyBorder="1" applyAlignment="1">
      <alignment horizontal="center"/>
      <protection/>
    </xf>
    <xf numFmtId="3" fontId="1" fillId="0" borderId="21" xfId="611" applyNumberFormat="1" applyFont="1" applyBorder="1" applyAlignment="1">
      <alignment horizontal="center" vertical="center" wrapText="1"/>
      <protection/>
    </xf>
    <xf numFmtId="3" fontId="1" fillId="0" borderId="0" xfId="611" applyNumberFormat="1" applyFont="1" applyBorder="1" applyAlignment="1">
      <alignment horizontal="center"/>
      <protection/>
    </xf>
    <xf numFmtId="3" fontId="22" fillId="0" borderId="0" xfId="611" applyNumberFormat="1" applyFont="1" applyBorder="1" applyAlignment="1">
      <alignment horizontal="center" vertical="top"/>
      <protection/>
    </xf>
    <xf numFmtId="3" fontId="1" fillId="0" borderId="0" xfId="611" applyNumberFormat="1" applyFont="1" applyBorder="1" applyAlignment="1">
      <alignment horizontal="center" vertical="top"/>
      <protection/>
    </xf>
    <xf numFmtId="3" fontId="24" fillId="0" borderId="0" xfId="611" applyNumberFormat="1" applyFont="1" applyAlignment="1">
      <alignment horizontal="center" vertical="top" wrapText="1"/>
      <protection/>
    </xf>
    <xf numFmtId="3" fontId="17" fillId="0" borderId="24" xfId="611" applyNumberFormat="1" applyFont="1" applyBorder="1" applyAlignment="1">
      <alignment horizontal="center" vertical="center"/>
      <protection/>
    </xf>
    <xf numFmtId="3" fontId="17" fillId="0" borderId="21" xfId="611" applyNumberFormat="1" applyFont="1" applyBorder="1" applyAlignment="1">
      <alignment horizontal="center" vertical="center"/>
      <protection/>
    </xf>
    <xf numFmtId="3" fontId="1" fillId="0" borderId="26" xfId="611" applyNumberFormat="1" applyFont="1" applyBorder="1" applyAlignment="1">
      <alignment horizontal="left" wrapText="1"/>
      <protection/>
    </xf>
    <xf numFmtId="3" fontId="1" fillId="0" borderId="38" xfId="611" applyNumberFormat="1" applyFont="1" applyBorder="1" applyAlignment="1">
      <alignment horizontal="left" wrapText="1"/>
      <protection/>
    </xf>
    <xf numFmtId="3" fontId="94" fillId="0" borderId="0" xfId="611" applyNumberFormat="1" applyFont="1" applyAlignment="1">
      <alignment horizontal="center"/>
      <protection/>
    </xf>
    <xf numFmtId="3" fontId="1" fillId="0" borderId="0" xfId="611" applyNumberFormat="1" applyFont="1" applyBorder="1" applyAlignment="1">
      <alignment horizontal="center" vertical="center"/>
      <protection/>
    </xf>
    <xf numFmtId="3" fontId="71" fillId="0" borderId="24" xfId="611" applyNumberFormat="1" applyFont="1" applyBorder="1" applyAlignment="1">
      <alignment horizontal="center" vertical="center"/>
      <protection/>
    </xf>
    <xf numFmtId="3" fontId="71" fillId="0" borderId="23" xfId="611" applyNumberFormat="1" applyFont="1" applyBorder="1" applyAlignment="1">
      <alignment horizontal="center" vertical="center"/>
      <protection/>
    </xf>
    <xf numFmtId="3" fontId="39" fillId="0" borderId="0" xfId="613" applyNumberFormat="1" applyFont="1" applyBorder="1" applyAlignment="1">
      <alignment horizontal="center"/>
      <protection/>
    </xf>
    <xf numFmtId="6" fontId="39" fillId="0" borderId="0" xfId="613" applyNumberFormat="1" applyFont="1" applyBorder="1" applyAlignment="1">
      <alignment horizontal="center"/>
      <protection/>
    </xf>
    <xf numFmtId="0" fontId="76" fillId="0" borderId="0" xfId="0" applyFont="1" applyAlignment="1">
      <alignment horizontal="left" wrapText="1"/>
    </xf>
    <xf numFmtId="0" fontId="77" fillId="0" borderId="0" xfId="613" applyFont="1" applyAlignment="1">
      <alignment horizontal="center" vertical="top"/>
      <protection/>
    </xf>
    <xf numFmtId="3" fontId="39" fillId="0" borderId="51" xfId="613" applyNumberFormat="1" applyFont="1" applyBorder="1" applyAlignment="1">
      <alignment horizontal="center" wrapText="1"/>
      <protection/>
    </xf>
    <xf numFmtId="3" fontId="39" fillId="0" borderId="58" xfId="613" applyNumberFormat="1" applyFont="1" applyBorder="1" applyAlignment="1">
      <alignment horizontal="center" wrapText="1"/>
      <protection/>
    </xf>
    <xf numFmtId="3" fontId="39" fillId="0" borderId="54" xfId="613" applyNumberFormat="1" applyFont="1" applyBorder="1" applyAlignment="1">
      <alignment horizontal="center" wrapText="1"/>
      <protection/>
    </xf>
    <xf numFmtId="6" fontId="39" fillId="0" borderId="51" xfId="613" applyNumberFormat="1" applyFont="1" applyBorder="1" applyAlignment="1">
      <alignment horizontal="center" wrapText="1"/>
      <protection/>
    </xf>
    <xf numFmtId="6" fontId="39" fillId="0" borderId="58" xfId="613" applyNumberFormat="1" applyFont="1" applyBorder="1" applyAlignment="1">
      <alignment horizontal="center" wrapText="1"/>
      <protection/>
    </xf>
    <xf numFmtId="6" fontId="39" fillId="0" borderId="54" xfId="613" applyNumberFormat="1" applyFont="1" applyBorder="1" applyAlignment="1">
      <alignment horizontal="center" wrapText="1"/>
      <protection/>
    </xf>
    <xf numFmtId="3" fontId="39" fillId="0" borderId="60" xfId="613" applyNumberFormat="1" applyFont="1" applyBorder="1" applyAlignment="1">
      <alignment horizontal="center" vertical="center" wrapText="1"/>
      <protection/>
    </xf>
    <xf numFmtId="3" fontId="39" fillId="0" borderId="37" xfId="613" applyNumberFormat="1" applyFont="1" applyBorder="1" applyAlignment="1">
      <alignment horizontal="center" vertical="center" wrapText="1"/>
      <protection/>
    </xf>
    <xf numFmtId="3" fontId="39" fillId="0" borderId="0" xfId="613" applyNumberFormat="1" applyFont="1" applyBorder="1" applyAlignment="1">
      <alignment horizontal="center" vertical="center" wrapText="1"/>
      <protection/>
    </xf>
    <xf numFmtId="3" fontId="39" fillId="0" borderId="38" xfId="613" applyNumberFormat="1" applyFont="1" applyBorder="1" applyAlignment="1">
      <alignment horizontal="center" vertical="center" wrapText="1"/>
      <protection/>
    </xf>
    <xf numFmtId="6" fontId="39" fillId="0" borderId="60" xfId="613" applyNumberFormat="1" applyFont="1" applyBorder="1" applyAlignment="1">
      <alignment horizontal="center" vertical="top" wrapText="1"/>
      <protection/>
    </xf>
    <xf numFmtId="6" fontId="39" fillId="0" borderId="37" xfId="613" applyNumberFormat="1" applyFont="1" applyBorder="1" applyAlignment="1">
      <alignment horizontal="center" vertical="top" wrapText="1"/>
      <protection/>
    </xf>
    <xf numFmtId="6" fontId="39" fillId="0" borderId="0" xfId="613" applyNumberFormat="1" applyFont="1" applyBorder="1" applyAlignment="1">
      <alignment horizontal="center" vertical="top" wrapText="1"/>
      <protection/>
    </xf>
    <xf numFmtId="6" fontId="39" fillId="0" borderId="38" xfId="613" applyNumberFormat="1" applyFont="1" applyBorder="1" applyAlignment="1">
      <alignment horizontal="center" vertical="top" wrapText="1"/>
      <protection/>
    </xf>
    <xf numFmtId="6" fontId="37" fillId="8" borderId="78" xfId="619" applyNumberFormat="1" applyFont="1" applyFill="1" applyBorder="1" applyAlignment="1">
      <alignment horizontal="center" vertical="center" wrapText="1"/>
    </xf>
    <xf numFmtId="6" fontId="37" fillId="8" borderId="31" xfId="619" applyNumberFormat="1" applyFont="1" applyFill="1" applyBorder="1" applyAlignment="1">
      <alignment horizontal="center" vertical="center" wrapText="1"/>
    </xf>
    <xf numFmtId="168" fontId="165" fillId="0" borderId="0" xfId="619" applyNumberFormat="1" applyFont="1" applyBorder="1" applyAlignment="1">
      <alignment wrapText="1"/>
    </xf>
    <xf numFmtId="0" fontId="93" fillId="0" borderId="0" xfId="0" applyFont="1" applyAlignment="1">
      <alignment horizontal="left" wrapText="1"/>
    </xf>
    <xf numFmtId="168" fontId="91" fillId="0" borderId="0" xfId="619" applyNumberFormat="1" applyFont="1" applyAlignment="1">
      <alignment horizontal="center"/>
    </xf>
    <xf numFmtId="168" fontId="92" fillId="0" borderId="0" xfId="619" applyNumberFormat="1" applyFont="1" applyAlignment="1">
      <alignment horizontal="center"/>
    </xf>
    <xf numFmtId="6" fontId="37" fillId="8" borderId="51" xfId="619" applyNumberFormat="1" applyFont="1" applyFill="1" applyBorder="1" applyAlignment="1">
      <alignment horizontal="center" wrapText="1"/>
    </xf>
    <xf numFmtId="6" fontId="37" fillId="8" borderId="54" xfId="619" applyNumberFormat="1" applyFont="1" applyFill="1" applyBorder="1" applyAlignment="1">
      <alignment horizontal="center" wrapText="1"/>
    </xf>
    <xf numFmtId="6" fontId="37" fillId="8" borderId="54" xfId="619" applyNumberFormat="1" applyFont="1" applyFill="1" applyBorder="1" applyAlignment="1">
      <alignment horizontal="center" vertical="center" wrapText="1"/>
    </xf>
    <xf numFmtId="6" fontId="37" fillId="8" borderId="38" xfId="619" applyNumberFormat="1" applyFont="1" applyFill="1" applyBorder="1" applyAlignment="1">
      <alignment horizontal="center" vertical="center" wrapText="1"/>
    </xf>
  </cellXfs>
  <cellStyles count="616">
    <cellStyle name="Normal" xfId="0"/>
    <cellStyle name="_0434BESZ" xfId="15"/>
    <cellStyle name="_0434BESZ_1" xfId="16"/>
    <cellStyle name="_0434BESZ_1_TartalékKötvényLekötésekEgyebek2014" xfId="17"/>
    <cellStyle name="_0434BESZ_TartalékKötvényLekötésekEgyebek2014" xfId="18"/>
    <cellStyle name="_04FELBEV" xfId="19"/>
    <cellStyle name="_04FELBEV_1" xfId="20"/>
    <cellStyle name="_04FELBEV_1_TartalékKötvényLekötésekEgyebek2014" xfId="21"/>
    <cellStyle name="_04FELBEV_2" xfId="22"/>
    <cellStyle name="_04FELBEV_2_TartalékKötvényLekötésekEgyebek2014" xfId="23"/>
    <cellStyle name="_04FELBEV_TartalékKötvényLekötésekEgyebek2014" xfId="24"/>
    <cellStyle name="_05FELBE" xfId="25"/>
    <cellStyle name="_05FELBE_1" xfId="26"/>
    <cellStyle name="_05FELBE_1_TartalékKötvényLekötésekEgyebek2014" xfId="27"/>
    <cellStyle name="_05FELBE_TartalékKötvényLekötésekEgyebek2014" xfId="28"/>
    <cellStyle name="_06FELBE" xfId="29"/>
    <cellStyle name="_06FELBE_1" xfId="30"/>
    <cellStyle name="_06FELBE_1_TartalékKötvényLekötésekEgyebek2014" xfId="31"/>
    <cellStyle name="_06FELBE_TartalékKötvényLekötésekEgyebek2014" xfId="32"/>
    <cellStyle name="_06FELBEküld" xfId="33"/>
    <cellStyle name="_06FELBEküld_1" xfId="34"/>
    <cellStyle name="_06FELBEküld_1_TartalékKötvényLekötésekEgyebek2014" xfId="35"/>
    <cellStyle name="_06FELBEküld_TartalékKötvényLekötésekEgyebek2014" xfId="36"/>
    <cellStyle name="_07háromnegyedBesz" xfId="37"/>
    <cellStyle name="_07háromnegyedBesz_1" xfId="38"/>
    <cellStyle name="_07háromnegyedBesz_1_TartalékKötvényLekötésekEgyebek2014" xfId="39"/>
    <cellStyle name="_07háromnegyedBesz_TartalékKötvényLekötésekEgyebek2014" xfId="40"/>
    <cellStyle name="_08FELBE" xfId="41"/>
    <cellStyle name="_08FELBE_1" xfId="42"/>
    <cellStyle name="_08FELBE_1_TartalékKötvényLekötésekEgyebek2014" xfId="43"/>
    <cellStyle name="_08FELBE_TartalékKötvényLekötésekEgyebek2014" xfId="44"/>
    <cellStyle name="_09FELBE" xfId="45"/>
    <cellStyle name="_09FELBE_1" xfId="46"/>
    <cellStyle name="_09FELBE_1_TartalékKötvényLekötésekEgyebek2014" xfId="47"/>
    <cellStyle name="_09FELBE_TartalékKötvényLekötésekEgyebek2014" xfId="48"/>
    <cellStyle name="_09FELBEküld" xfId="49"/>
    <cellStyle name="_09FELBEküld_1" xfId="50"/>
    <cellStyle name="_09FELBEküld_1_TartalékKötvényLekötésekEgyebek2014" xfId="51"/>
    <cellStyle name="_09FELBEküld_TartalékKötvényLekötésekEgyebek2014" xfId="52"/>
    <cellStyle name="_09FELBEotthoni" xfId="53"/>
    <cellStyle name="_09FELBEotthoni_1" xfId="54"/>
    <cellStyle name="_09FELBEotthoni_1_TartalékKötvényLekötésekEgyebek2014" xfId="55"/>
    <cellStyle name="_09FELBEotthoni_2" xfId="56"/>
    <cellStyle name="_09FELBEotthoni_2_TartalékKötvényLekötésekEgyebek2014" xfId="57"/>
    <cellStyle name="_09FELBEotthoni_TartalékKötvényLekötésekEgyebek2014" xfId="58"/>
    <cellStyle name="_09háromnegyedBESZ" xfId="59"/>
    <cellStyle name="_09háromnegyedBESZ_1" xfId="60"/>
    <cellStyle name="_09háromnegyedBESZ_1_TartalékKötvényLekötésekEgyebek2014" xfId="61"/>
    <cellStyle name="_09háromnegyedBESZ_TartalékKötvényLekötésekEgyebek2014" xfId="62"/>
    <cellStyle name="_2006.évi első rendelet-módosítás" xfId="63"/>
    <cellStyle name="_2006.évi első rendelet-módosítás_1" xfId="64"/>
    <cellStyle name="_2006.évi első rendelet-módosítás_1_TartalékKötvényLekötésekEgyebek2014" xfId="65"/>
    <cellStyle name="_2006.évi első rendelet-módosítás_2" xfId="66"/>
    <cellStyle name="_2006.évi első rendelet-módosítás_2_TartalékKötvényLekötésekEgyebek2014" xfId="67"/>
    <cellStyle name="_2006.évi első rendelet-módosítás_3" xfId="68"/>
    <cellStyle name="_2006.évi első rendelet-módosítás_3_TartalékKötvényLekötésekEgyebek2014" xfId="69"/>
    <cellStyle name="_2006.évi első rendelet-módosítás_4" xfId="70"/>
    <cellStyle name="_2006.évi első rendelet-módosítás_4_TartalékKötvényLekötésekEgyebek2014" xfId="71"/>
    <cellStyle name="_2006.évi első rendelet-módosítás_TartalékKötvényLekötésekEgyebek2014" xfId="72"/>
    <cellStyle name="_2006.évi hatodik rendelet-módosítás" xfId="73"/>
    <cellStyle name="_2006.évi hatodik rendelet-módosítás_1" xfId="74"/>
    <cellStyle name="_2006.évi hatodik rendelet-módosítás_1_TartalékKötvényLekötésekEgyebek2014" xfId="75"/>
    <cellStyle name="_2006.évi hatodik rendelet-módosítás_2" xfId="76"/>
    <cellStyle name="_2006.évi hatodik rendelet-módosítás_2_TartalékKötvényLekötésekEgyebek2014" xfId="77"/>
    <cellStyle name="_2006.évi hatodik rendelet-módosítás_3" xfId="78"/>
    <cellStyle name="_2006.évi hatodik rendelet-módosítás_3_TartalékKötvényLekötésekEgyebek2014" xfId="79"/>
    <cellStyle name="_2006.évi hatodik rendelet-módosítás_4" xfId="80"/>
    <cellStyle name="_2006.évi hatodik rendelet-módosítás_4_TartalékKötvényLekötésekEgyebek2014" xfId="81"/>
    <cellStyle name="_2006.évi hatodik rendelet-módosítás_TartalékKötvényLekötésekEgyebek2014" xfId="82"/>
    <cellStyle name="_2006.évi második rendelet-módosítás" xfId="83"/>
    <cellStyle name="_2006.évi második rendelet-módosítás_1" xfId="84"/>
    <cellStyle name="_2006.évi második rendelet-módosítás_1_TartalékKötvényLekötésekEgyebek2014" xfId="85"/>
    <cellStyle name="_2006.évi második rendelet-módosítás_2" xfId="86"/>
    <cellStyle name="_2006.évi második rendelet-módosítás_2_TartalékKötvényLekötésekEgyebek2014" xfId="87"/>
    <cellStyle name="_2006.évi második rendelet-módosítás_3" xfId="88"/>
    <cellStyle name="_2006.évi második rendelet-módosítás_3_TartalékKötvényLekötésekEgyebek2014" xfId="89"/>
    <cellStyle name="_2006.évi második rendelet-módosítás_TartalékKötvényLekötésekEgyebek2014" xfId="90"/>
    <cellStyle name="_2006.évi ötödik rendelet-módosítás" xfId="91"/>
    <cellStyle name="_2006.évi ötödik rendelet-módosítás_1" xfId="92"/>
    <cellStyle name="_2006.évi ötödik rendelet-módosítás_1_TartalékKötvényLekötésekEgyebek2014" xfId="93"/>
    <cellStyle name="_2006.évi ötödik rendelet-módosítás_2" xfId="94"/>
    <cellStyle name="_2006.évi ötödik rendelet-módosítás_2_TartalékKötvényLekötésekEgyebek2014" xfId="95"/>
    <cellStyle name="_2006.évi ötödik rendelet-módosítás_3" xfId="96"/>
    <cellStyle name="_2006.évi ötödik rendelet-módosítás_3_TartalékKötvényLekötésekEgyebek2014" xfId="97"/>
    <cellStyle name="_2006.évi ötödik rendelet-módosítás_TartalékKötvényLekötésekEgyebek2014" xfId="98"/>
    <cellStyle name="_2006KVI0307" xfId="99"/>
    <cellStyle name="_2006KVI0307_TartalékKötvényLekötésekEgyebek2014" xfId="100"/>
    <cellStyle name="_2006KVI0307alapokÚJ" xfId="101"/>
    <cellStyle name="_2006KVI0307alapokÚJ_TartalékKötvényLekötésekEgyebek2014" xfId="102"/>
    <cellStyle name="_2007.évi második rendelet-módosítás" xfId="103"/>
    <cellStyle name="_2007.évi második rendelet-módosítás_1" xfId="104"/>
    <cellStyle name="_2007.évi második rendelet-módosítás_1_TartalékKötvényLekötésekEgyebek2014" xfId="105"/>
    <cellStyle name="_2007.évi második rendelet-módosítás_2" xfId="106"/>
    <cellStyle name="_2007.évi második rendelet-módosítás_2_TartalékKötvényLekötésekEgyebek2014" xfId="107"/>
    <cellStyle name="_2007.évi második rendelet-módosítás_3" xfId="108"/>
    <cellStyle name="_2007.évi második rendelet-módosítás_3_TartalékKötvényLekötésekEgyebek2014" xfId="109"/>
    <cellStyle name="_2007.évi második rendelet-módosítás_TartalékKötvényLekötésekEgyebek2014" xfId="110"/>
    <cellStyle name="_2007.évi negyedik rendelet-módosítás" xfId="111"/>
    <cellStyle name="_2007.évi negyedik rendelet-módosítás_1" xfId="112"/>
    <cellStyle name="_2007.évi negyedik rendelet-módosítás_1_TartalékKötvényLekötésekEgyebek2014" xfId="113"/>
    <cellStyle name="_2007.évi negyedik rendelet-módosítás_2" xfId="114"/>
    <cellStyle name="_2007.évi negyedik rendelet-módosítás_2_TartalékKötvényLekötésekEgyebek2014" xfId="115"/>
    <cellStyle name="_2007.évi negyedik rendelet-módosítás_3" xfId="116"/>
    <cellStyle name="_2007.évi negyedik rendelet-módosítás_3_TartalékKötvényLekötésekEgyebek2014" xfId="117"/>
    <cellStyle name="_2007.évi negyedik rendelet-módosítás_TartalékKötvényLekötésekEgyebek2014" xfId="118"/>
    <cellStyle name="_2007.évi ötödik rendelet-módosítás" xfId="119"/>
    <cellStyle name="_2007.évi ötödik rendelet-módosítás_1" xfId="120"/>
    <cellStyle name="_2007.évi ötödik rendelet-módosítás_1_TartalékKötvényLekötésekEgyebek2014" xfId="121"/>
    <cellStyle name="_2007.évi ötödik rendelet-módosítás_2" xfId="122"/>
    <cellStyle name="_2007.évi ötödik rendelet-módosítás_2_TartalékKötvényLekötésekEgyebek2014" xfId="123"/>
    <cellStyle name="_2007.évi ötödik rendelet-módosítás_3" xfId="124"/>
    <cellStyle name="_2007.évi ötödik rendelet-módosítás_3_TartalékKötvényLekötésekEgyebek2014" xfId="125"/>
    <cellStyle name="_2007.évi ötödik rendelet-módosítás_TartalékKötvényLekötésekEgyebek2014" xfId="126"/>
    <cellStyle name="_2007KVI2" xfId="127"/>
    <cellStyle name="_2007KVI2_TartalékKötvényLekötésekEgyebek2014" xfId="128"/>
    <cellStyle name="_2007KVIvégleges20070306alapok" xfId="129"/>
    <cellStyle name="_2007KVIvégleges20070306alapok_TartalékKötvényLekötésekEgyebek2014" xfId="130"/>
    <cellStyle name="_2008.évi első rendelet-módosítás" xfId="131"/>
    <cellStyle name="_2008.évi első rendelet-módosítás_1" xfId="132"/>
    <cellStyle name="_2008.évi első rendelet-módosítás_1_TartalékKötvényLekötésekEgyebek2014" xfId="133"/>
    <cellStyle name="_2008.évi első rendelet-módosítás_2" xfId="134"/>
    <cellStyle name="_2008.évi első rendelet-módosítás_2_TartalékKötvényLekötésekEgyebek2014" xfId="135"/>
    <cellStyle name="_2008.évi első rendelet-módosítás_3" xfId="136"/>
    <cellStyle name="_2008.évi első rendelet-módosítás_3_TartalékKötvényLekötésekEgyebek2014" xfId="137"/>
    <cellStyle name="_2008.évi első rendelet-módosítás_TartalékKötvényLekötésekEgyebek2014" xfId="138"/>
    <cellStyle name="_2008.évi első rendelet-módosításküld" xfId="139"/>
    <cellStyle name="_2008.évi első rendelet-módosításküld_1" xfId="140"/>
    <cellStyle name="_2008.évi első rendelet-módosításküld_1_TartalékKötvényLekötésekEgyebek2014" xfId="141"/>
    <cellStyle name="_2008.évi első rendelet-módosításküld_2" xfId="142"/>
    <cellStyle name="_2008.évi első rendelet-módosításküld_2_TartalékKötvényLekötésekEgyebek2014" xfId="143"/>
    <cellStyle name="_2008.évi első rendelet-módosításküld_3" xfId="144"/>
    <cellStyle name="_2008.évi első rendelet-módosításküld_3_TartalékKötvényLekötésekEgyebek2014" xfId="145"/>
    <cellStyle name="_2008.évi első rendelet-módosításküld_TartalékKötvényLekötésekEgyebek2014" xfId="146"/>
    <cellStyle name="_2008.évi harmadik rendelet-módosítás intézményi" xfId="147"/>
    <cellStyle name="_2008.évi harmadik rendelet-módosítás intézményi_1" xfId="148"/>
    <cellStyle name="_2008.évi harmadik rendelet-módosítás intézményi_1_TartalékKötvényLekötésekEgyebek2014" xfId="149"/>
    <cellStyle name="_2008.évi harmadik rendelet-módosítás intézményi_2" xfId="150"/>
    <cellStyle name="_2008.évi harmadik rendelet-módosítás intézményi_2_TartalékKötvényLekötésekEgyebek2014" xfId="151"/>
    <cellStyle name="_2008.évi harmadik rendelet-módosítás intézményi_3" xfId="152"/>
    <cellStyle name="_2008.évi harmadik rendelet-módosítás intézményi_3_TartalékKötvényLekötésekEgyebek2014" xfId="153"/>
    <cellStyle name="_2008.évi harmadik rendelet-módosítás intézményi_4" xfId="154"/>
    <cellStyle name="_2008.évi harmadik rendelet-módosítás intézményi_4_TartalékKötvényLekötésekEgyebek2014" xfId="155"/>
    <cellStyle name="_2008.évi harmadik rendelet-módosítás intézményi_TartalékKötvényLekötésekEgyebek2014" xfId="156"/>
    <cellStyle name="_2008.évi második rendelet-módosítás" xfId="157"/>
    <cellStyle name="_2008.évi második rendelet-módosítás_1" xfId="158"/>
    <cellStyle name="_2008.évi második rendelet-módosítás_1_2008beszküldvégleges" xfId="159"/>
    <cellStyle name="_2008.évi második rendelet-módosítás_1_2008beszküldvégleges_TartalékKötvényLekötésekEgyebek2014" xfId="160"/>
    <cellStyle name="_2008.évi második rendelet-módosítás_1_2009besz" xfId="161"/>
    <cellStyle name="_2008.évi második rendelet-módosítás_1_2009besz_TartalékKötvényLekötésekEgyebek2014" xfId="162"/>
    <cellStyle name="_2008.évi második rendelet-módosítás_1_2010besz" xfId="163"/>
    <cellStyle name="_2008.évi második rendelet-módosítás_1_2010besz_TartalékKötvényLekötésekEgyebek2014" xfId="164"/>
    <cellStyle name="_2008.évi második rendelet-módosítás_1_2010FELBEküld" xfId="165"/>
    <cellStyle name="_2008.évi második rendelet-módosítás_1_2010FELBEküld_TartalékKötvényLekötésekEgyebek2014" xfId="166"/>
    <cellStyle name="_2008.évi második rendelet-módosítás_1_2011. évi második rendelet-módosítás" xfId="167"/>
    <cellStyle name="_2008.évi második rendelet-módosítás_1_2011. évi második rendelet-módosítás_TartalékKötvényLekötésekEgyebek2014" xfId="168"/>
    <cellStyle name="_2008.évi második rendelet-módosítás_1_2011besz" xfId="169"/>
    <cellStyle name="_2008.évi második rendelet-módosítás_1_2011besz_TartalékKötvényLekötésekEgyebek2014" xfId="170"/>
    <cellStyle name="_2008.évi második rendelet-módosítás_1_2012KVI változat 20120223" xfId="171"/>
    <cellStyle name="_2008.évi második rendelet-módosítás_1_2012KVI változat 20120223_TartalékKötvényLekötésekEgyebek2014" xfId="172"/>
    <cellStyle name="_2008.évi második rendelet-módosítás_1_2012KVI változat 3" xfId="173"/>
    <cellStyle name="_2008.évi második rendelet-módosítás_1_2012KVI változat 3_TartalékKötvényLekötésekEgyebek2014" xfId="174"/>
    <cellStyle name="_2008.évi második rendelet-módosítás_1_8. melléklet tartalékok" xfId="175"/>
    <cellStyle name="_2008.évi második rendelet-módosítás_1_8. melléklet tartalékok_TartalékKötvényLekötésekEgyebek2014" xfId="176"/>
    <cellStyle name="_2008.évi második rendelet-módosítás_1_adósságszolgálat 2013 05 06" xfId="177"/>
    <cellStyle name="_2008.évi második rendelet-módosítás_1_adósságszolgálat 2013 05 06_TartalékKötvényLekötésekEgyebek2014" xfId="178"/>
    <cellStyle name="_2008.évi második rendelet-módosítás_1_adósságszolgálat alakulása" xfId="179"/>
    <cellStyle name="_2008.évi második rendelet-módosítás_1_adósságszolgálatlegújabb 2013 01 09" xfId="180"/>
    <cellStyle name="_2008.évi második rendelet-módosítás_1_adósságszolgálatlegújabb 2013 01 09_TartalékKötvényLekötésekEgyebek2014" xfId="181"/>
    <cellStyle name="_2008.évi második rendelet-módosítás_1_futamidős törlesztés alakulása" xfId="182"/>
    <cellStyle name="_2008.évi második rendelet-módosítás_1_futamidős törlesztés alakulása_TartalékKötvényLekötésekEgyebek2014" xfId="183"/>
    <cellStyle name="_2008.évi második rendelet-módosítás_1_kötvénylekötés és kamatbevétel" xfId="184"/>
    <cellStyle name="_2008.évi második rendelet-módosítás_1_kötvénylekötés és kamatbevétel_TartalékKötvényLekötésekEgyebek2014" xfId="185"/>
    <cellStyle name="_2008.évi második rendelet-módosítás_1_TaralékKötvényLekötésEgyebek2011" xfId="186"/>
    <cellStyle name="_2008.évi második rendelet-módosítás_1_TaralékKötvényLekötésEgyebek2011_TartalékKötvényLekötésekEgyebek2014" xfId="187"/>
    <cellStyle name="_2008.évi második rendelet-módosítás_1_TartalékKötvényLekötésEgyebek2011" xfId="188"/>
    <cellStyle name="_2008.évi második rendelet-módosítás_1_TartalékKötvényLekötésEgyebek2011_TartalékKötvényLekötésekEgyebek2014" xfId="189"/>
    <cellStyle name="_2008.évi második rendelet-módosítás_1_TartalékKötvényLekötésekEgyebek2011" xfId="190"/>
    <cellStyle name="_2008.évi második rendelet-módosítás_1_TartalékKötvényLekötésekEgyebek2011_TartalékKötvényLekötésekEgyebek2014" xfId="191"/>
    <cellStyle name="_2008.évi második rendelet-módosítás_1_TartalékKötvényLekötésekEgyebek2012" xfId="192"/>
    <cellStyle name="_2008.évi második rendelet-módosítás_1_TartalékKötvényLekötésekEgyebek2012_TartalékKötvényLekötésekEgyebek2014" xfId="193"/>
    <cellStyle name="_2008.évi második rendelet-módosítás_1_TartalékKötvényLekötésekEgyebek2013 év végi rendezés" xfId="194"/>
    <cellStyle name="_2008.évi második rendelet-módosítás_1_TartalékKötvényLekötésekEgyebek2014" xfId="195"/>
    <cellStyle name="_2008.évi második rendelet-módosítás_2" xfId="196"/>
    <cellStyle name="_2008.évi második rendelet-módosítás_2_2008beszküldvégleges" xfId="197"/>
    <cellStyle name="_2008.évi második rendelet-módosítás_2_2008beszküldvégleges_TartalékKötvényLekötésekEgyebek2014" xfId="198"/>
    <cellStyle name="_2008.évi második rendelet-módosítás_2_2009besz" xfId="199"/>
    <cellStyle name="_2008.évi második rendelet-módosítás_2_2009besz_TartalékKötvényLekötésekEgyebek2014" xfId="200"/>
    <cellStyle name="_2008.évi második rendelet-módosítás_2_2010besz" xfId="201"/>
    <cellStyle name="_2008.évi második rendelet-módosítás_2_2010besz_TartalékKötvényLekötésekEgyebek2014" xfId="202"/>
    <cellStyle name="_2008.évi második rendelet-módosítás_2_2010FELBEküld" xfId="203"/>
    <cellStyle name="_2008.évi második rendelet-módosítás_2_2010FELBEküld_TartalékKötvényLekötésekEgyebek2014" xfId="204"/>
    <cellStyle name="_2008.évi második rendelet-módosítás_2_2011. évi második rendelet-módosítás" xfId="205"/>
    <cellStyle name="_2008.évi második rendelet-módosítás_2_2011. évi második rendelet-módosítás_TartalékKötvényLekötésekEgyebek2014" xfId="206"/>
    <cellStyle name="_2008.évi második rendelet-módosítás_2_2011besz" xfId="207"/>
    <cellStyle name="_2008.évi második rendelet-módosítás_2_2011besz_TartalékKötvényLekötésekEgyebek2014" xfId="208"/>
    <cellStyle name="_2008.évi második rendelet-módosítás_2_2012KVI változat 20120223" xfId="209"/>
    <cellStyle name="_2008.évi második rendelet-módosítás_2_2012KVI változat 20120223_TartalékKötvényLekötésekEgyebek2014" xfId="210"/>
    <cellStyle name="_2008.évi második rendelet-módosítás_2_2012KVI változat 3" xfId="211"/>
    <cellStyle name="_2008.évi második rendelet-módosítás_2_2012KVI változat 3_TartalékKötvényLekötésekEgyebek2014" xfId="212"/>
    <cellStyle name="_2008.évi második rendelet-módosítás_2_8. melléklet tartalékok" xfId="213"/>
    <cellStyle name="_2008.évi második rendelet-módosítás_2_8. melléklet tartalékok_TartalékKötvényLekötésekEgyebek2014" xfId="214"/>
    <cellStyle name="_2008.évi második rendelet-módosítás_2_adósságszolgálat 2013 05 06" xfId="215"/>
    <cellStyle name="_2008.évi második rendelet-módosítás_2_adósságszolgálat 2013 05 06_TartalékKötvényLekötésekEgyebek2014" xfId="216"/>
    <cellStyle name="_2008.évi második rendelet-módosítás_2_adósságszolgálat alakulása" xfId="217"/>
    <cellStyle name="_2008.évi második rendelet-módosítás_2_adósságszolgálatlegújabb 2013 01 09" xfId="218"/>
    <cellStyle name="_2008.évi második rendelet-módosítás_2_adósságszolgálatlegújabb 2013 01 09_TartalékKötvényLekötésekEgyebek2014" xfId="219"/>
    <cellStyle name="_2008.évi második rendelet-módosítás_2_futamidős törlesztés alakulása" xfId="220"/>
    <cellStyle name="_2008.évi második rendelet-módosítás_2_futamidős törlesztés alakulása_TartalékKötvényLekötésekEgyebek2014" xfId="221"/>
    <cellStyle name="_2008.évi második rendelet-módosítás_2_kötvénylekötés és kamatbevétel" xfId="222"/>
    <cellStyle name="_2008.évi második rendelet-módosítás_2_kötvénylekötés és kamatbevétel_TartalékKötvényLekötésekEgyebek2014" xfId="223"/>
    <cellStyle name="_2008.évi második rendelet-módosítás_2_TaralékKötvényLekötésEgyebek2011" xfId="224"/>
    <cellStyle name="_2008.évi második rendelet-módosítás_2_TaralékKötvényLekötésEgyebek2011_TartalékKötvényLekötésekEgyebek2014" xfId="225"/>
    <cellStyle name="_2008.évi második rendelet-módosítás_2_TartalékKötvényLekötésEgyebek2011" xfId="226"/>
    <cellStyle name="_2008.évi második rendelet-módosítás_2_TartalékKötvényLekötésEgyebek2011_TartalékKötvényLekötésekEgyebek2014" xfId="227"/>
    <cellStyle name="_2008.évi második rendelet-módosítás_2_TartalékKötvényLekötésekEgyebek2011" xfId="228"/>
    <cellStyle name="_2008.évi második rendelet-módosítás_2_TartalékKötvényLekötésekEgyebek2011_TartalékKötvényLekötésekEgyebek2014" xfId="229"/>
    <cellStyle name="_2008.évi második rendelet-módosítás_2_TartalékKötvényLekötésekEgyebek2012" xfId="230"/>
    <cellStyle name="_2008.évi második rendelet-módosítás_2_TartalékKötvényLekötésekEgyebek2012_TartalékKötvényLekötésekEgyebek2014" xfId="231"/>
    <cellStyle name="_2008.évi második rendelet-módosítás_2_TartalékKötvényLekötésekEgyebek2013 év végi rendezés" xfId="232"/>
    <cellStyle name="_2008.évi második rendelet-módosítás_2_TartalékKötvényLekötésekEgyebek2014" xfId="233"/>
    <cellStyle name="_2008.évi második rendelet-módosítás_2008beszküldvégleges" xfId="234"/>
    <cellStyle name="_2008.évi második rendelet-módosítás_2008beszküldvégleges_TartalékKötvényLekötésekEgyebek2014" xfId="235"/>
    <cellStyle name="_2008.évi második rendelet-módosítás_2009besz" xfId="236"/>
    <cellStyle name="_2008.évi második rendelet-módosítás_2009besz_TartalékKötvényLekötésekEgyebek2014" xfId="237"/>
    <cellStyle name="_2008.évi második rendelet-módosítás_2010besz" xfId="238"/>
    <cellStyle name="_2008.évi második rendelet-módosítás_2010besz_TartalékKötvényLekötésekEgyebek2014" xfId="239"/>
    <cellStyle name="_2008.évi második rendelet-módosítás_2010FELBEküld" xfId="240"/>
    <cellStyle name="_2008.évi második rendelet-módosítás_2010FELBEküld_TartalékKötvényLekötésekEgyebek2014" xfId="241"/>
    <cellStyle name="_2008.évi második rendelet-módosítás_2011. évi második rendelet-módosítás" xfId="242"/>
    <cellStyle name="_2008.évi második rendelet-módosítás_2011. évi második rendelet-módosítás_TartalékKötvényLekötésekEgyebek2014" xfId="243"/>
    <cellStyle name="_2008.évi második rendelet-módosítás_2011besz" xfId="244"/>
    <cellStyle name="_2008.évi második rendelet-módosítás_2011besz_TartalékKötvényLekötésekEgyebek2014" xfId="245"/>
    <cellStyle name="_2008.évi második rendelet-módosítás_2012KVI változat 20120223" xfId="246"/>
    <cellStyle name="_2008.évi második rendelet-módosítás_2012KVI változat 20120223_TartalékKötvényLekötésekEgyebek2014" xfId="247"/>
    <cellStyle name="_2008.évi második rendelet-módosítás_2012KVI változat 3" xfId="248"/>
    <cellStyle name="_2008.évi második rendelet-módosítás_2012KVI változat 3_TartalékKötvényLekötésekEgyebek2014" xfId="249"/>
    <cellStyle name="_2008.évi második rendelet-módosítás_3" xfId="250"/>
    <cellStyle name="_2008.évi második rendelet-módosítás_3_2008beszküldvégleges" xfId="251"/>
    <cellStyle name="_2008.évi második rendelet-módosítás_3_2008beszküldvégleges_TartalékKötvényLekötésekEgyebek2014" xfId="252"/>
    <cellStyle name="_2008.évi második rendelet-módosítás_3_2009besz" xfId="253"/>
    <cellStyle name="_2008.évi második rendelet-módosítás_3_2009besz_TartalékKötvényLekötésekEgyebek2014" xfId="254"/>
    <cellStyle name="_2008.évi második rendelet-módosítás_3_2010besz" xfId="255"/>
    <cellStyle name="_2008.évi második rendelet-módosítás_3_2010besz_TartalékKötvényLekötésekEgyebek2014" xfId="256"/>
    <cellStyle name="_2008.évi második rendelet-módosítás_3_2010FELBEküld" xfId="257"/>
    <cellStyle name="_2008.évi második rendelet-módosítás_3_2010FELBEküld_TartalékKötvényLekötésekEgyebek2014" xfId="258"/>
    <cellStyle name="_2008.évi második rendelet-módosítás_3_2011. évi második rendelet-módosítás" xfId="259"/>
    <cellStyle name="_2008.évi második rendelet-módosítás_3_2011. évi második rendelet-módosítás_TartalékKötvényLekötésekEgyebek2014" xfId="260"/>
    <cellStyle name="_2008.évi második rendelet-módosítás_3_2011besz" xfId="261"/>
    <cellStyle name="_2008.évi második rendelet-módosítás_3_2011besz_TartalékKötvényLekötésekEgyebek2014" xfId="262"/>
    <cellStyle name="_2008.évi második rendelet-módosítás_3_2012KVI változat 20120223" xfId="263"/>
    <cellStyle name="_2008.évi második rendelet-módosítás_3_2012KVI változat 20120223_TartalékKötvényLekötésekEgyebek2014" xfId="264"/>
    <cellStyle name="_2008.évi második rendelet-módosítás_3_2012KVI változat 3" xfId="265"/>
    <cellStyle name="_2008.évi második rendelet-módosítás_3_2012KVI változat 3_TartalékKötvényLekötésekEgyebek2014" xfId="266"/>
    <cellStyle name="_2008.évi második rendelet-módosítás_3_8. melléklet tartalékok" xfId="267"/>
    <cellStyle name="_2008.évi második rendelet-módosítás_3_8. melléklet tartalékok_TartalékKötvényLekötésekEgyebek2014" xfId="268"/>
    <cellStyle name="_2008.évi második rendelet-módosítás_3_adósságszolgálat 2013 05 06" xfId="269"/>
    <cellStyle name="_2008.évi második rendelet-módosítás_3_adósságszolgálat 2013 05 06_TartalékKötvényLekötésekEgyebek2014" xfId="270"/>
    <cellStyle name="_2008.évi második rendelet-módosítás_3_adósságszolgálat alakulása" xfId="271"/>
    <cellStyle name="_2008.évi második rendelet-módosítás_3_adósságszolgálatlegújabb 2013 01 09" xfId="272"/>
    <cellStyle name="_2008.évi második rendelet-módosítás_3_adósságszolgálatlegújabb 2013 01 09_TartalékKötvényLekötésekEgyebek2014" xfId="273"/>
    <cellStyle name="_2008.évi második rendelet-módosítás_3_futamidős törlesztés alakulása" xfId="274"/>
    <cellStyle name="_2008.évi második rendelet-módosítás_3_futamidős törlesztés alakulása_TartalékKötvényLekötésekEgyebek2014" xfId="275"/>
    <cellStyle name="_2008.évi második rendelet-módosítás_3_kötvénylekötés és kamatbevétel" xfId="276"/>
    <cellStyle name="_2008.évi második rendelet-módosítás_3_kötvénylekötés és kamatbevétel_TartalékKötvényLekötésekEgyebek2014" xfId="277"/>
    <cellStyle name="_2008.évi második rendelet-módosítás_3_TaralékKötvényLekötésEgyebek2011" xfId="278"/>
    <cellStyle name="_2008.évi második rendelet-módosítás_3_TaralékKötvényLekötésEgyebek2011_TartalékKötvényLekötésekEgyebek2014" xfId="279"/>
    <cellStyle name="_2008.évi második rendelet-módosítás_3_TartalékKötvényLekötésEgyebek2011" xfId="280"/>
    <cellStyle name="_2008.évi második rendelet-módosítás_3_TartalékKötvényLekötésEgyebek2011_TartalékKötvényLekötésekEgyebek2014" xfId="281"/>
    <cellStyle name="_2008.évi második rendelet-módosítás_3_TartalékKötvényLekötésekEgyebek2011" xfId="282"/>
    <cellStyle name="_2008.évi második rendelet-módosítás_3_TartalékKötvényLekötésekEgyebek2011_TartalékKötvényLekötésekEgyebek2014" xfId="283"/>
    <cellStyle name="_2008.évi második rendelet-módosítás_3_TartalékKötvényLekötésekEgyebek2012" xfId="284"/>
    <cellStyle name="_2008.évi második rendelet-módosítás_3_TartalékKötvényLekötésekEgyebek2012_TartalékKötvényLekötésekEgyebek2014" xfId="285"/>
    <cellStyle name="_2008.évi második rendelet-módosítás_3_TartalékKötvényLekötésekEgyebek2013 év végi rendezés" xfId="286"/>
    <cellStyle name="_2008.évi második rendelet-módosítás_3_TartalékKötvényLekötésekEgyebek2014" xfId="287"/>
    <cellStyle name="_2008.évi második rendelet-módosítás_8. melléklet tartalékok" xfId="288"/>
    <cellStyle name="_2008.évi második rendelet-módosítás_8. melléklet tartalékok_TartalékKötvényLekötésekEgyebek2014" xfId="289"/>
    <cellStyle name="_2008.évi második rendelet-módosítás_adósságszolgálat 2013 05 06" xfId="290"/>
    <cellStyle name="_2008.évi második rendelet-módosítás_adósságszolgálat 2013 05 06_TartalékKötvényLekötésekEgyebek2014" xfId="291"/>
    <cellStyle name="_2008.évi második rendelet-módosítás_adósságszolgálat alakulása" xfId="292"/>
    <cellStyle name="_2008.évi második rendelet-módosítás_adósságszolgálatlegújabb 2013 01 09" xfId="293"/>
    <cellStyle name="_2008.évi második rendelet-módosítás_adósságszolgálatlegújabb 2013 01 09_TartalékKötvényLekötésekEgyebek2014" xfId="294"/>
    <cellStyle name="_2008.évi második rendelet-módosítás_futamidős törlesztés alakulása" xfId="295"/>
    <cellStyle name="_2008.évi második rendelet-módosítás_futamidős törlesztés alakulása_TartalékKötvényLekötésekEgyebek2014" xfId="296"/>
    <cellStyle name="_2008.évi második rendelet-módosítás_kötvénylekötés és kamatbevétel" xfId="297"/>
    <cellStyle name="_2008.évi második rendelet-módosítás_kötvénylekötés és kamatbevétel_TartalékKötvényLekötésekEgyebek2014" xfId="298"/>
    <cellStyle name="_2008.évi második rendelet-módosítás_TaralékKötvényLekötésEgyebek2011" xfId="299"/>
    <cellStyle name="_2008.évi második rendelet-módosítás_TaralékKötvényLekötésEgyebek2011_TartalékKötvényLekötésekEgyebek2014" xfId="300"/>
    <cellStyle name="_2008.évi második rendelet-módosítás_TartalékKötvényLekötésEgyebek2011" xfId="301"/>
    <cellStyle name="_2008.évi második rendelet-módosítás_TartalékKötvényLekötésEgyebek2011_TartalékKötvényLekötésekEgyebek2014" xfId="302"/>
    <cellStyle name="_2008.évi második rendelet-módosítás_TartalékKötvényLekötésekEgyebek2011" xfId="303"/>
    <cellStyle name="_2008.évi második rendelet-módosítás_TartalékKötvényLekötésekEgyebek2011_TartalékKötvényLekötésekEgyebek2014" xfId="304"/>
    <cellStyle name="_2008.évi második rendelet-módosítás_TartalékKötvényLekötésekEgyebek2012" xfId="305"/>
    <cellStyle name="_2008.évi második rendelet-módosítás_TartalékKötvényLekötésekEgyebek2012_TartalékKötvényLekötésekEgyebek2014" xfId="306"/>
    <cellStyle name="_2008.évi második rendelet-módosítás_TartalékKötvényLekötésekEgyebek2013 év végi rendezés" xfId="307"/>
    <cellStyle name="_2008.évi második rendelet-módosítás_TartalékKötvényLekötésekEgyebek2014" xfId="308"/>
    <cellStyle name="_2008.évi negyedik rendelet-módosítás" xfId="309"/>
    <cellStyle name="_2008.évi negyedik rendelet-módosítás intézményi" xfId="310"/>
    <cellStyle name="_2008.évi negyedik rendelet-módosítás intézményi_1" xfId="311"/>
    <cellStyle name="_2008.évi negyedik rendelet-módosítás intézményi_1_TartalékKötvényLekötésekEgyebek2014" xfId="312"/>
    <cellStyle name="_2008.évi negyedik rendelet-módosítás intézményi_2" xfId="313"/>
    <cellStyle name="_2008.évi negyedik rendelet-módosítás intézményi_2_TartalékKötvényLekötésekEgyebek2014" xfId="314"/>
    <cellStyle name="_2008.évi negyedik rendelet-módosítás intézményi_3" xfId="315"/>
    <cellStyle name="_2008.évi negyedik rendelet-módosítás intézményi_3_TartalékKötvényLekötésekEgyebek2014" xfId="316"/>
    <cellStyle name="_2008.évi negyedik rendelet-módosítás intézményi_TartalékKötvényLekötésekEgyebek2014" xfId="317"/>
    <cellStyle name="_2008.évi negyedik rendelet-módosítás_1" xfId="318"/>
    <cellStyle name="_2008.évi negyedik rendelet-módosítás_1_TartalékKötvényLekötésekEgyebek2014" xfId="319"/>
    <cellStyle name="_2008.évi negyedik rendelet-módosítás_2" xfId="320"/>
    <cellStyle name="_2008.évi negyedik rendelet-módosítás_2_TartalékKötvényLekötésekEgyebek2014" xfId="321"/>
    <cellStyle name="_2008.évi negyedik rendelet-módosítás_3" xfId="322"/>
    <cellStyle name="_2008.évi negyedik rendelet-módosítás_3_TartalékKötvényLekötésekEgyebek2014" xfId="323"/>
    <cellStyle name="_2008.évi negyedik rendelet-módosítás_4" xfId="324"/>
    <cellStyle name="_2008.évi negyedik rendelet-módosítás_4_TartalékKötvényLekötésekEgyebek2014" xfId="325"/>
    <cellStyle name="_2008.évi negyedik rendelet-módosítás_TartalékKötvényLekötésekEgyebek2014" xfId="326"/>
    <cellStyle name="_2008KVIvégleges20080306alapok" xfId="327"/>
    <cellStyle name="_2008KVIvégleges20080306alapok_TartalékKötvényLekötésekEgyebek2014" xfId="328"/>
    <cellStyle name="_2009.évi első rendelet-módosítás" xfId="329"/>
    <cellStyle name="_2009.évi első rendelet-módosítás_1" xfId="330"/>
    <cellStyle name="_2009.évi első rendelet-módosítás_1_TartalékKötvényLekötésekEgyebek2014" xfId="331"/>
    <cellStyle name="_2009.évi első rendelet-módosítás_2" xfId="332"/>
    <cellStyle name="_2009.évi első rendelet-módosítás_2_TartalékKötvényLekötésekEgyebek2014" xfId="333"/>
    <cellStyle name="_2009.évi első rendelet-módosítás_3" xfId="334"/>
    <cellStyle name="_2009.évi első rendelet-módosítás_3_TartalékKötvényLekötésekEgyebek2014" xfId="335"/>
    <cellStyle name="_2009.évi első rendelet-módosítás_4" xfId="336"/>
    <cellStyle name="_2009.évi első rendelet-módosítás_4_TartalékKötvényLekötésekEgyebek2014" xfId="337"/>
    <cellStyle name="_2009.évi első rendelet-módosítás_TartalékKötvényLekötésekEgyebek2014" xfId="338"/>
    <cellStyle name="_2009.évi harmadik rendelet-módosítás" xfId="339"/>
    <cellStyle name="_2009.évi harmadik rendelet-módosítás_1" xfId="340"/>
    <cellStyle name="_2009.évi harmadik rendelet-módosítás_1_TartalékKötvényLekötésekEgyebek2014" xfId="341"/>
    <cellStyle name="_2009.évi harmadik rendelet-módosítás_2" xfId="342"/>
    <cellStyle name="_2009.évi harmadik rendelet-módosítás_2_TartalékKötvényLekötésekEgyebek2014" xfId="343"/>
    <cellStyle name="_2009.évi harmadik rendelet-módosítás_3" xfId="344"/>
    <cellStyle name="_2009.évi harmadik rendelet-módosítás_3_TartalékKötvényLekötésekEgyebek2014" xfId="345"/>
    <cellStyle name="_2009.évi harmadik rendelet-módosítás_TartalékKötvényLekötésekEgyebek2014" xfId="346"/>
    <cellStyle name="_2009.évi második rendelet-módosítás" xfId="347"/>
    <cellStyle name="_2009.évi második rendelet-módosítás intézményi" xfId="348"/>
    <cellStyle name="_2009.évi második rendelet-módosítás intézményi_1" xfId="349"/>
    <cellStyle name="_2009.évi második rendelet-módosítás intézményi_1_TartalékKötvényLekötésekEgyebek2014" xfId="350"/>
    <cellStyle name="_2009.évi második rendelet-módosítás intézményi_2" xfId="351"/>
    <cellStyle name="_2009.évi második rendelet-módosítás intézményi_2_TartalékKötvényLekötésekEgyebek2014" xfId="352"/>
    <cellStyle name="_2009.évi második rendelet-módosítás intézményi_3" xfId="353"/>
    <cellStyle name="_2009.évi második rendelet-módosítás intézményi_3_TartalékKötvényLekötésekEgyebek2014" xfId="354"/>
    <cellStyle name="_2009.évi második rendelet-módosítás intézményi_TartalékKötvényLekötésekEgyebek2014" xfId="355"/>
    <cellStyle name="_2009.évi második rendelet-módosítás_1" xfId="356"/>
    <cellStyle name="_2009.évi második rendelet-módosítás_1_TartalékKötvényLekötésekEgyebek2014" xfId="357"/>
    <cellStyle name="_2009.évi második rendelet-módosítás_2" xfId="358"/>
    <cellStyle name="_2009.évi második rendelet-módosítás_2_TartalékKötvényLekötésekEgyebek2014" xfId="359"/>
    <cellStyle name="_2009.évi második rendelet-módosítás_3" xfId="360"/>
    <cellStyle name="_2009.évi második rendelet-módosítás_3_TartalékKötvényLekötésekEgyebek2014" xfId="361"/>
    <cellStyle name="_2009.évi második rendelet-módosítás_4" xfId="362"/>
    <cellStyle name="_2009.évi második rendelet-módosítás_4_TartalékKötvényLekötésekEgyebek2014" xfId="363"/>
    <cellStyle name="_2009.évi második rendelet-módosítás_TartalékKötvényLekötésekEgyebek2014" xfId="364"/>
    <cellStyle name="_2009KVIvéglegesküld" xfId="365"/>
    <cellStyle name="_2009KVIvéglegesküld_TartalékKötvényLekötésekEgyebek2014" xfId="366"/>
    <cellStyle name="_2010. évi ötödik rendelet-módosítás küld" xfId="367"/>
    <cellStyle name="_2010. évi ötödik rendelet-módosítás küld_1" xfId="368"/>
    <cellStyle name="_2010. évi ötödik rendelet-módosítás küld_1_TartalékKötvényLekötésekEgyebek2014" xfId="369"/>
    <cellStyle name="_2010. évi ötödik rendelet-módosítás küld_2" xfId="370"/>
    <cellStyle name="_2010. évi ötödik rendelet-módosítás küld_2_TartalékKötvényLekötésekEgyebek2014" xfId="371"/>
    <cellStyle name="_2010. évi ötödik rendelet-módosítás küld_3" xfId="372"/>
    <cellStyle name="_2010. évi ötödik rendelet-módosítás küld_3_TartalékKötvényLekötésekEgyebek2014" xfId="373"/>
    <cellStyle name="_2010. évi ötödik rendelet-módosítás küld_4" xfId="374"/>
    <cellStyle name="_2010. évi ötödik rendelet-módosítás küld_4_TartalékKötvényLekötésekEgyebek2014" xfId="375"/>
    <cellStyle name="_2010. évi ötödik rendelet-módosítás küld_TartalékKötvényLekötésekEgyebek2014" xfId="376"/>
    <cellStyle name="_2010.évi első rendelet-módosítás" xfId="377"/>
    <cellStyle name="_2010.évi első rendelet-módosítás_1" xfId="378"/>
    <cellStyle name="_2010.évi első rendelet-módosítás_1_TartalékKötvényLekötésekEgyebek2014" xfId="379"/>
    <cellStyle name="_2010.évi első rendelet-módosítás_2" xfId="380"/>
    <cellStyle name="_2010.évi első rendelet-módosítás_2_TartalékKötvényLekötésekEgyebek2014" xfId="381"/>
    <cellStyle name="_2010.évi első rendelet-módosítás_3" xfId="382"/>
    <cellStyle name="_2010.évi első rendelet-módosítás_3_TartalékKötvényLekötésekEgyebek2014" xfId="383"/>
    <cellStyle name="_2010.évi első rendelet-módosítás_TartalékKötvényLekötésekEgyebek2014" xfId="384"/>
    <cellStyle name="_2010.évi harmadik rendelet-módosítás" xfId="385"/>
    <cellStyle name="_2010.évi harmadik rendelet-módosítás_1" xfId="386"/>
    <cellStyle name="_2010.évi harmadik rendelet-módosítás_1_TartalékKötvényLekötésekEgyebek2014" xfId="387"/>
    <cellStyle name="_2010.évi harmadik rendelet-módosítás_2" xfId="388"/>
    <cellStyle name="_2010.évi harmadik rendelet-módosítás_2_TartalékKötvényLekötésekEgyebek2014" xfId="389"/>
    <cellStyle name="_2010.évi harmadik rendelet-módosítás_3" xfId="390"/>
    <cellStyle name="_2010.évi harmadik rendelet-módosítás_3_TartalékKötvényLekötésekEgyebek2014" xfId="391"/>
    <cellStyle name="_2010.évi harmadik rendelet-módosítás_TartalékKötvényLekötésekEgyebek2014" xfId="392"/>
    <cellStyle name="_2010.évi második rendelet-módosítás küld" xfId="393"/>
    <cellStyle name="_2010.évi második rendelet-módosítás küld_1" xfId="394"/>
    <cellStyle name="_2010.évi második rendelet-módosítás küld_1_TartalékKötvényLekötésekEgyebek2014" xfId="395"/>
    <cellStyle name="_2010.évi második rendelet-módosítás küld_2" xfId="396"/>
    <cellStyle name="_2010.évi második rendelet-módosítás küld_2_TartalékKötvényLekötésekEgyebek2014" xfId="397"/>
    <cellStyle name="_2010.évi második rendelet-módosítás küld_3" xfId="398"/>
    <cellStyle name="_2010.évi második rendelet-módosítás küld_3_TartalékKötvényLekötésekEgyebek2014" xfId="399"/>
    <cellStyle name="_2010.évi második rendelet-módosítás küld_TartalékKötvényLekötésekEgyebek2014" xfId="400"/>
    <cellStyle name="_2010FELBE" xfId="401"/>
    <cellStyle name="_2010FELBE_1" xfId="402"/>
    <cellStyle name="_2010FELBE_1_TartalékKötvényLekötésekEgyebek2014" xfId="403"/>
    <cellStyle name="_2010FELBE_TartalékKötvényLekötésekEgyebek2014" xfId="404"/>
    <cellStyle name="_2010FELBEküld" xfId="405"/>
    <cellStyle name="_2010FELBEküld_1" xfId="406"/>
    <cellStyle name="_2010FELBEküld_1_TartalékKötvényLekötésekEgyebek2014" xfId="407"/>
    <cellStyle name="_2010FELBEküld_TartalékKötvényLekötésekEgyebek2014" xfId="408"/>
    <cellStyle name="_2010háromnegyedBesz küld" xfId="409"/>
    <cellStyle name="_2010háromnegyedBesz küld_1" xfId="410"/>
    <cellStyle name="_2010háromnegyedBesz küld_1_TartalékKötvényLekötésekEgyebek2014" xfId="411"/>
    <cellStyle name="_2010háromnegyedBesz küld_TartalékKötvényLekötésekEgyebek2014" xfId="412"/>
    <cellStyle name="_2010KVI_végleges küld" xfId="413"/>
    <cellStyle name="_2010KVI_végleges küld_TartalékKötvényLekötésekEgyebek2014" xfId="414"/>
    <cellStyle name="_2011 háromnegyed besz küld" xfId="415"/>
    <cellStyle name="_2011 háromnegyed besz küld_1" xfId="416"/>
    <cellStyle name="_2011 háromnegyed besz küld_1_TartalékKötvényLekötésekEgyebek2014" xfId="417"/>
    <cellStyle name="_2011 háromnegyed besz küld_TartalékKötvényLekötésekEgyebek2014" xfId="418"/>
    <cellStyle name="_2011. évi második rendelet-módosítás" xfId="419"/>
    <cellStyle name="_2011. évi második rendelet-módosítás_1" xfId="420"/>
    <cellStyle name="_2011. évi második rendelet-módosítás_1_TartalékKötvényLekötésekEgyebek2014" xfId="421"/>
    <cellStyle name="_2011. évi második rendelet-módosítás_2" xfId="422"/>
    <cellStyle name="_2011. évi második rendelet-módosítás_2_TartalékKötvényLekötésekEgyebek2014" xfId="423"/>
    <cellStyle name="_2011. évi második rendelet-módosítás_3" xfId="424"/>
    <cellStyle name="_2011. évi második rendelet-módosítás_3_TartalékKötvényLekötésekEgyebek2014" xfId="425"/>
    <cellStyle name="_2011. évi második rendelet-módosítás_TartalékKötvényLekötésekEgyebek2014" xfId="426"/>
    <cellStyle name="_2011FELBEküld" xfId="427"/>
    <cellStyle name="_2011FELBEküld_1" xfId="428"/>
    <cellStyle name="_2011FELBEküld_1_2011besz" xfId="429"/>
    <cellStyle name="_2011FELBEküld_1_2011besz_TartalékKötvényLekötésekEgyebek2014" xfId="430"/>
    <cellStyle name="_2011FELBEküld_1_Kötvényből megvalósúló feladatok 2008-tól Ágika 2012 04 11" xfId="431"/>
    <cellStyle name="_2011FELBEküld_1_Kötvényből megvalósúló feladatok 2008-tól Ágika 2012 04 11_TartalékKötvényLekötésekEgyebek2014" xfId="432"/>
    <cellStyle name="_2011FELBEküld_1_Kötvényből megvalósúló feladatok 2008-tól Ágika 2013 03 20" xfId="433"/>
    <cellStyle name="_2011FELBEküld_1_Kötvényből megvalósúló feladatok 2008-tól Ágika 2013 03 20_TartalékKötvényLekötésekEgyebek2014" xfId="434"/>
    <cellStyle name="_2011FELBEküld_1_Kötvényből megvalósúló feladatok 2008-tól Ágika 2014 01 15" xfId="435"/>
    <cellStyle name="_2011FELBEküld_1_TartalékKötvényLekötésekEgyebek2014" xfId="436"/>
    <cellStyle name="_2011FELBEküld_TartalékKötvényLekötésekEgyebek2014" xfId="437"/>
    <cellStyle name="_2011KVI     2011 03 10" xfId="438"/>
    <cellStyle name="_2011KVI     2011 03 10_TartalékKötvényLekötésekEgyebek2014" xfId="439"/>
    <cellStyle name="_34BESZ2005" xfId="440"/>
    <cellStyle name="_34BESZ2005_1" xfId="441"/>
    <cellStyle name="_34BESZ2005_1_TartalékKötvényLekötésekEgyebek2014" xfId="442"/>
    <cellStyle name="_34BESZ2005_TartalékKötvényLekötésekEgyebek2014" xfId="443"/>
    <cellStyle name="_34BESZ2006" xfId="444"/>
    <cellStyle name="_34BESZ2006_1" xfId="445"/>
    <cellStyle name="_34BESZ2006_1_TartalékKötvényLekötésekEgyebek2014" xfId="446"/>
    <cellStyle name="_34BESZ2006_2" xfId="447"/>
    <cellStyle name="_34BESZ2006_2_TartalékKötvényLekötésekEgyebek2014" xfId="448"/>
    <cellStyle name="_34BESZ2006_TartalékKötvényLekötésekEgyebek2014" xfId="449"/>
    <cellStyle name="_34BESZ2006bőv" xfId="450"/>
    <cellStyle name="_34BESZ2006bőv_1" xfId="451"/>
    <cellStyle name="_34BESZ2006bőv_1_TartalékKötvényLekötésekEgyebek2014" xfId="452"/>
    <cellStyle name="_34BESZ2006bőv_TartalékKötvényLekötésekEgyebek2014" xfId="453"/>
    <cellStyle name="_34BESZ2006bőv1" xfId="454"/>
    <cellStyle name="_34BESZ2006bőv1_1" xfId="455"/>
    <cellStyle name="_34BESZ2006bőv1_1_Munkafüzet2" xfId="456"/>
    <cellStyle name="_34BESZ2006bőv1_1_Munkafüzet2_TartalékKötvényLekötésekEgyebek2014" xfId="457"/>
    <cellStyle name="_34BESZ2006bőv1_1_TartalékKötvényLekötésekEgyebek2014" xfId="458"/>
    <cellStyle name="_34BESZ2006bőv1_TartalékKötvényLekötésekEgyebek2014" xfId="459"/>
    <cellStyle name="_34BESZ2006otthon" xfId="460"/>
    <cellStyle name="_34BESZ2006otthon_1" xfId="461"/>
    <cellStyle name="_34BESZ2006otthon_1_TartalékKötvényLekötésekEgyebek2014" xfId="462"/>
    <cellStyle name="_34BESZ2006otthon_TartalékKötvényLekötésekEgyebek2014" xfId="463"/>
    <cellStyle name="_alapokmányok" xfId="464"/>
    <cellStyle name="_alapokmányok_TartalékKötvényLekötésekEgyebek2014" xfId="465"/>
    <cellStyle name="_EUs pályázatok intézmények felé" xfId="466"/>
    <cellStyle name="_EUs pályázatok intézmények felé_TartalékKötvényLekötésekEgyebek2014" xfId="467"/>
    <cellStyle name="_Kötvény törlesztés éls kamat alakulása" xfId="468"/>
    <cellStyle name="_Kötvény törlesztés éls kamat alakulása_TartalékKötvényLekötésekEgyebek2014" xfId="469"/>
    <cellStyle name="_kötvénylekötés és kamatbevétel" xfId="470"/>
    <cellStyle name="_kötvénylekötés és kamatbevétel_TartalékKötvényLekötésekEgyebek2014" xfId="471"/>
    <cellStyle name="_Másolat eredetije2006.évi harmadik rendelet-módosításO" xfId="472"/>
    <cellStyle name="_Másolat eredetije2006.évi harmadik rendelet-módosításO_1" xfId="473"/>
    <cellStyle name="_Másolat eredetije2006.évi harmadik rendelet-módosításO_1_TartalékKötvényLekötésekEgyebek2014" xfId="474"/>
    <cellStyle name="_Másolat eredetije2006.évi harmadik rendelet-módosításO_2" xfId="475"/>
    <cellStyle name="_Másolat eredetije2006.évi harmadik rendelet-módosításO_2_TartalékKötvényLekötésekEgyebek2014" xfId="476"/>
    <cellStyle name="_Másolat eredetije2006.évi harmadik rendelet-módosításO_3" xfId="477"/>
    <cellStyle name="_Másolat eredetije2006.évi harmadik rendelet-módosításO_3_TartalékKötvényLekötésekEgyebek2014" xfId="478"/>
    <cellStyle name="_Másolat eredetije2006.évi harmadik rendelet-módosításO_4" xfId="479"/>
    <cellStyle name="_Másolat eredetije2006.évi harmadik rendelet-módosításO_4_TartalékKötvényLekötésekEgyebek2014" xfId="480"/>
    <cellStyle name="_Másolat eredetije2006.évi harmadik rendelet-módosításO_TartalékKötvényLekötésekEgyebek2014" xfId="481"/>
    <cellStyle name="_Munkafüzet2" xfId="482"/>
    <cellStyle name="_Munkafüzet2_TartalékKötvényLekötésekEgyebek2014" xfId="483"/>
    <cellStyle name="_TÁMOP félévesGesz" xfId="484"/>
    <cellStyle name="_TÁMOP félévesGesz_TartalékKötvényLekötésekEgyebek2014" xfId="485"/>
    <cellStyle name="_TartalékKötvényLekötésekEgyebek2011" xfId="486"/>
    <cellStyle name="_TartalékKötvényLekötésekEgyebek2011_TartalékKötvényLekötésekEgyebek2014" xfId="487"/>
    <cellStyle name="_TEST1" xfId="488"/>
    <cellStyle name="_TEST1_1" xfId="489"/>
    <cellStyle name="_TEST1_1_TartalékKötvényLekötésekEgyebek2014" xfId="490"/>
    <cellStyle name="_TEST1_TartalékKötvényLekötésekEgyebek2014" xfId="491"/>
    <cellStyle name="_TEST2" xfId="492"/>
    <cellStyle name="_TEST2_1" xfId="493"/>
    <cellStyle name="_TEST2_1_TartalékKötvényLekötésekEgyebek2014" xfId="494"/>
    <cellStyle name="_TEST2_2" xfId="495"/>
    <cellStyle name="_TEST2_2_TartalékKötvényLekötésekEgyebek2014" xfId="496"/>
    <cellStyle name="_TEST2_TartalékKötvényLekötésekEgyebek2014" xfId="497"/>
    <cellStyle name="_TEST3" xfId="498"/>
    <cellStyle name="_TEST3_1" xfId="499"/>
    <cellStyle name="_TEST3_1_TartalékKötvényLekötésekEgyebek2014" xfId="500"/>
    <cellStyle name="_TEST3_TartalékKötvényLekötésekEgyebek2014" xfId="501"/>
    <cellStyle name="_TEST3V" xfId="502"/>
    <cellStyle name="_TEST3V_1" xfId="503"/>
    <cellStyle name="_TEST3V_1_TartalékKötvényLekötésekEgyebek2014" xfId="504"/>
    <cellStyle name="_TEST3V_2" xfId="505"/>
    <cellStyle name="_TEST3V_2_TartalékKötvényLekötésekEgyebek2014" xfId="506"/>
    <cellStyle name="_TEST3V_3" xfId="507"/>
    <cellStyle name="_TEST3V_3_TartalékKötvényLekötésekEgyebek2014" xfId="508"/>
    <cellStyle name="_TEST3V_4" xfId="509"/>
    <cellStyle name="_TEST3V_4_TartalékKötvényLekötésekEgyebek2014" xfId="510"/>
    <cellStyle name="_TEST3V_TartalékKötvényLekötésekEgyebek2014" xfId="511"/>
    <cellStyle name="_test4" xfId="512"/>
    <cellStyle name="_test4_1" xfId="513"/>
    <cellStyle name="_test4_1_TartalékKötvényLekötésekEgyebek2014" xfId="514"/>
    <cellStyle name="_test4_2" xfId="515"/>
    <cellStyle name="_test4_2_TartalékKötvényLekötésekEgyebek2014" xfId="516"/>
    <cellStyle name="_test4_3" xfId="517"/>
    <cellStyle name="_test4_3_TartalékKötvényLekötésekEgyebek2014" xfId="518"/>
    <cellStyle name="_test4_4" xfId="519"/>
    <cellStyle name="_test4_4_TartalékKötvényLekötésekEgyebek2014" xfId="520"/>
    <cellStyle name="_test4_TartalékKötvényLekötésekEgyebek2014" xfId="521"/>
    <cellStyle name="_TEST5" xfId="522"/>
    <cellStyle name="_TEST5_1" xfId="523"/>
    <cellStyle name="_TEST5_1_TartalékKötvényLekötésekEgyebek2014" xfId="524"/>
    <cellStyle name="_TEST5_2" xfId="525"/>
    <cellStyle name="_TEST5_2_TartalékKötvényLekötésekEgyebek2014" xfId="526"/>
    <cellStyle name="_TEST5_3" xfId="527"/>
    <cellStyle name="_TEST5_3_TartalékKötvényLekötésekEgyebek2014" xfId="528"/>
    <cellStyle name="_TEST5_TartalékKötvényLekötésekEgyebek2014" xfId="529"/>
    <cellStyle name="20% - 1. jelölőszín" xfId="530"/>
    <cellStyle name="20% - 2. jelölőszín" xfId="531"/>
    <cellStyle name="20% - 3. jelölőszín" xfId="532"/>
    <cellStyle name="20% - 4. jelölőszín" xfId="533"/>
    <cellStyle name="20% - 5. jelölőszín" xfId="534"/>
    <cellStyle name="20% - 6. jelölőszín" xfId="535"/>
    <cellStyle name="20% - Accent1" xfId="536"/>
    <cellStyle name="20% - Accent2" xfId="537"/>
    <cellStyle name="20% - Accent3" xfId="538"/>
    <cellStyle name="20% - Accent4" xfId="539"/>
    <cellStyle name="20% - Accent5" xfId="540"/>
    <cellStyle name="20% - Accent6" xfId="541"/>
    <cellStyle name="40% - 1. jelölőszín" xfId="542"/>
    <cellStyle name="40% - 2. jelölőszín" xfId="543"/>
    <cellStyle name="40% - 3. jelölőszín" xfId="544"/>
    <cellStyle name="40% - 4. jelölőszín" xfId="545"/>
    <cellStyle name="40% - 5. jelölőszín" xfId="546"/>
    <cellStyle name="40% - 6. jelölőszín" xfId="547"/>
    <cellStyle name="40% - Accent1" xfId="548"/>
    <cellStyle name="40% - Accent2" xfId="549"/>
    <cellStyle name="40% - Accent3" xfId="550"/>
    <cellStyle name="40% - Accent4" xfId="551"/>
    <cellStyle name="40% - Accent5" xfId="552"/>
    <cellStyle name="40% - Accent6" xfId="553"/>
    <cellStyle name="60% - 1. jelölőszín" xfId="554"/>
    <cellStyle name="60% - 2. jelölőszín" xfId="555"/>
    <cellStyle name="60% - 3. jelölőszín" xfId="556"/>
    <cellStyle name="60% - 4. jelölőszín" xfId="557"/>
    <cellStyle name="60% - 5. jelölőszín" xfId="558"/>
    <cellStyle name="60% - 6. jelölőszín" xfId="559"/>
    <cellStyle name="60% - Accent1" xfId="560"/>
    <cellStyle name="60% - Accent2" xfId="561"/>
    <cellStyle name="60% - Accent3" xfId="562"/>
    <cellStyle name="60% - Accent4" xfId="563"/>
    <cellStyle name="60% - Accent5" xfId="564"/>
    <cellStyle name="60% - Accent6" xfId="565"/>
    <cellStyle name="Accent1" xfId="566"/>
    <cellStyle name="Accent2" xfId="567"/>
    <cellStyle name="Accent3" xfId="568"/>
    <cellStyle name="Accent4" xfId="569"/>
    <cellStyle name="Accent5" xfId="570"/>
    <cellStyle name="Accent6" xfId="571"/>
    <cellStyle name="Bad" xfId="572"/>
    <cellStyle name="Bevitel" xfId="573"/>
    <cellStyle name="Calculation" xfId="574"/>
    <cellStyle name="Check Cell" xfId="575"/>
    <cellStyle name="Cím" xfId="576"/>
    <cellStyle name="Címsor 1" xfId="577"/>
    <cellStyle name="Címsor 2" xfId="578"/>
    <cellStyle name="Címsor 3" xfId="579"/>
    <cellStyle name="Címsor 4" xfId="580"/>
    <cellStyle name="Ellenőrzőcella" xfId="581"/>
    <cellStyle name="Explanatory Text" xfId="582"/>
    <cellStyle name="Comma" xfId="583"/>
    <cellStyle name="Comma [0]" xfId="584"/>
    <cellStyle name="Ezres 2" xfId="585"/>
    <cellStyle name="Figyelmeztetés" xfId="586"/>
    <cellStyle name="Good" xfId="587"/>
    <cellStyle name="Heading 1" xfId="588"/>
    <cellStyle name="Heading 2" xfId="589"/>
    <cellStyle name="Heading 3" xfId="590"/>
    <cellStyle name="Heading 4" xfId="591"/>
    <cellStyle name="Hyperlink" xfId="592"/>
    <cellStyle name="Hivatkozott cella" xfId="593"/>
    <cellStyle name="Input" xfId="594"/>
    <cellStyle name="Jegyzet" xfId="595"/>
    <cellStyle name="Jelölőszín (1)" xfId="596"/>
    <cellStyle name="Jelölőszín (2)" xfId="597"/>
    <cellStyle name="Jelölőszín (3)" xfId="598"/>
    <cellStyle name="Jelölőszín (4)" xfId="599"/>
    <cellStyle name="Jelölőszín (5)" xfId="600"/>
    <cellStyle name="Jelölőszín (6)" xfId="601"/>
    <cellStyle name="Jó" xfId="602"/>
    <cellStyle name="Kimenet" xfId="603"/>
    <cellStyle name="Followed Hyperlink" xfId="604"/>
    <cellStyle name="Linked Cell" xfId="605"/>
    <cellStyle name="Magyarázó szöveg" xfId="606"/>
    <cellStyle name="Neutral" xfId="607"/>
    <cellStyle name="Normál_00KV3" xfId="608"/>
    <cellStyle name="Normál_99BESZ1" xfId="609"/>
    <cellStyle name="Normal_APUT202" xfId="610"/>
    <cellStyle name="Normál_költségvetés tervezése" xfId="611"/>
    <cellStyle name="Normal_NEWTRANSFERPRICING" xfId="612"/>
    <cellStyle name="Normál_NORM2010változat4" xfId="613"/>
    <cellStyle name="Note" xfId="614"/>
    <cellStyle name="Output" xfId="615"/>
    <cellStyle name="Összesen" xfId="616"/>
    <cellStyle name="Currency" xfId="617"/>
    <cellStyle name="Currency [0]" xfId="618"/>
    <cellStyle name="Pénznem 2" xfId="619"/>
    <cellStyle name="Rossz" xfId="620"/>
    <cellStyle name="Semleges" xfId="621"/>
    <cellStyle name="Stílus 1" xfId="622"/>
    <cellStyle name="Stílus 4" xfId="623"/>
    <cellStyle name="Számítás" xfId="624"/>
    <cellStyle name="Percent" xfId="625"/>
    <cellStyle name="Százalék 2" xfId="626"/>
    <cellStyle name="Title" xfId="627"/>
    <cellStyle name="Total" xfId="628"/>
    <cellStyle name="Warning Text" xfId="6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emi\Documents\MUNKA\FELBESZ\2014\&#214;MTRbe\3_sz&#225;m&#250;_mell&#233;klet_ad&#243;ss&#225;gszolg&#225;lat%20alakul&#225;s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emi\Documents\MUNKA\KVI\2015\MUNKA\&#214;NK%20KVI%202015%20KV%20V&#193;LTOZAT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emi\Documents\MUNKA\KVI\2015\MUNKA\rendelet%201_2_3_11_mell&#233;kletei%20INT&#201;ZM&#201;NYI%20T&#193;BL&#193;K%20kiemelt_%20ei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emi\Documents\MUNKA\KVI\2015\MUNKA\EU%20p&#225;ly&#225;zat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emi\Documents\MUNKA\KVI\2015\MUNKA\&#214;NK%20KVI%202015%20KV%20V&#193;LTOZAT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%201_2_3_11_mell&#233;kletei%20INT&#201;ZM&#201;NYI%20T&#193;BL&#193;K%20kiemelt_%20ei%20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%201_2_3_11_12_mell&#233;kletei%20INT&#201;ZM&#201;NYI%20T&#193;BL&#193;K%20kiemelt_%20e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ósságszolgálat 2014"/>
      <sheetName val="Kötvén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ÖNK kiadások összesen (2)"/>
      <sheetName val="kiemelt ei összesítő"/>
      <sheetName val="Önkfel. 1001-336 KI"/>
      <sheetName val="Gazd.Kabinet. 1014-337 KI"/>
      <sheetName val="Alpolgárm.kab. 1015-338 KI"/>
      <sheetName val="Pályfel. 1001-335 KI"/>
      <sheetName val="PV 1001-170 KI"/>
      <sheetName val="SPORT 1001-116 KI"/>
      <sheetName val="Kultura 1001-200 KI"/>
      <sheetName val="Jogifel. 1002-460 KI"/>
      <sheetName val="Jegyzői vegyes. 1003-461 KI"/>
      <sheetName val="Informatika 1010-202 KI"/>
      <sheetName val="Vegyes 1005-001 KI"/>
      <sheetName val="Intfin.és pm. 1005-203 KI"/>
      <sheetName val="Adó 1005-114 KI"/>
      <sheetName val="Szoc.fel. 1006-104 KI"/>
      <sheetName val="Köznev.fel. 1006-107 KI"/>
      <sheetName val="Igazg.fel. 1007-215 KI"/>
      <sheetName val="Műszaki fel. 1008-119 KI"/>
      <sheetName val="Főép.fel. 1009-118 KI"/>
      <sheetName val="Körny.védel. 1009-197 KI"/>
      <sheetName val="Üzem.fel. 1010-301 KI"/>
      <sheetName val="Városüzem. 1011-111 KI"/>
      <sheetName val="Önk.vagyon 1011-160 KI"/>
      <sheetName val="In.karb. 1011-299 KI"/>
      <sheetName val="In.felúj. 1011-196 KI"/>
      <sheetName val="In.beruh. 1011-296 KI"/>
      <sheetName val="Kötvény 1011-199 KI"/>
      <sheetName val="Média 1011-150 KI"/>
      <sheetName val="Virágzó Zugló 1011-201 KI"/>
      <sheetName val="Lakásgazd. 1013-169 KI"/>
      <sheetName val="Önk.fel. 1001-336 BE"/>
      <sheetName val="Kult.fel. 1001-200 BE"/>
      <sheetName val="Sportfel. 1001-116 BE"/>
      <sheetName val="Pályáz. 1001-335 BE"/>
      <sheetName val="Jogi fel. 1002-460 BE"/>
      <sheetName val="Jegyzői vegyes 1003-461 BE"/>
      <sheetName val="Közp.kv. 1005-109 BE"/>
      <sheetName val="Vegyes 1005-001 BE"/>
      <sheetName val="Intfin.és pm. 1005-203  BE"/>
      <sheetName val="Adó 1005-114 BE"/>
      <sheetName val="Szoc.fel. 1006-104 BE"/>
      <sheetName val="Köznev.fel. 1006-107 BE"/>
      <sheetName val="Igazg.fel. 1007-215 BE"/>
      <sheetName val="Műszaki fel. 1008-119 BE"/>
      <sheetName val="Főépít.fel. 1009-118 BE"/>
      <sheetName val="Üzem.fel. 1010-301 BE"/>
      <sheetName val="Önk.vagyon 1011-160 BE"/>
      <sheetName val="Városüzem. 1011-111 BE"/>
      <sheetName val="Kötvény 1011-199 BE"/>
      <sheetName val="Gyám1012-208 BE"/>
      <sheetName val="Lakásgazd. 1013-169 BE"/>
    </sheetNames>
    <sheetDataSet>
      <sheetData sheetId="38">
        <row r="24">
          <cell r="AD24">
            <v>46278400</v>
          </cell>
        </row>
        <row r="25">
          <cell r="AD25">
            <v>64900000</v>
          </cell>
        </row>
        <row r="69">
          <cell r="AD69">
            <v>3064725287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LŐIRÁNYZATOK"/>
      <sheetName val="címrend"/>
      <sheetName val="CIMLÉTSZÁM"/>
      <sheetName val="likv.terv"/>
      <sheetName val="CIMLÉTSZÁM év közi vált"/>
      <sheetName val="KIEMELT ELŐIRÁNYZATOK gördülő"/>
    </sheetNames>
    <sheetDataSet>
      <sheetData sheetId="0">
        <row r="34">
          <cell r="U34">
            <v>1051172.31</v>
          </cell>
        </row>
        <row r="41">
          <cell r="U41">
            <v>630060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lnyert pályázato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nka2"/>
      <sheetName val="Munka1"/>
      <sheetName val="ÖNK kiadások összesen (2)"/>
      <sheetName val="kiemelt ei összesítő"/>
      <sheetName val="Önkfel. 1001-336 KI"/>
      <sheetName val="Gazd.Kabinet. 1014-337 KI"/>
      <sheetName val="Alpolgárm.kab. 1015-338 KI"/>
      <sheetName val="Pályfel. 1001-335 KI"/>
      <sheetName val="PV 1001-170 KI"/>
      <sheetName val="SPORT 1001-116 KI"/>
      <sheetName val="Kultura 1001-200 KI"/>
      <sheetName val="Jogifel. 1002-460 KI"/>
      <sheetName val="Jegyzői vegyes. 1003-461 KI"/>
      <sheetName val="Informatika 1010-202 KI"/>
      <sheetName val="Vegyes 1005-001 KI"/>
      <sheetName val="Intfin.és pm. 1005-203 KI"/>
      <sheetName val="Adó 1005-114 KI"/>
      <sheetName val="Szoc.fel. 1006-104 KI"/>
      <sheetName val="Köznev.fel. 1006-107 KI"/>
      <sheetName val="Igazg.fel. 1007-215 KI"/>
      <sheetName val="Műszaki fel. 1008-119 KI"/>
      <sheetName val="Főép.fel. 1009-118 KI"/>
      <sheetName val="Körny.védel. 1009-197 KI"/>
      <sheetName val="Üzem.fel. 1010-301 KI"/>
      <sheetName val="Városüzem. 1011-111 KI"/>
      <sheetName val="Önk.vagyon 1011-160 KI"/>
      <sheetName val="In.karb. 1011-299 KI"/>
      <sheetName val="In.felúj. 1011-196 KI"/>
      <sheetName val="In.beruh. 1011-296 KI"/>
      <sheetName val="Kötvény 1011-199 KI"/>
      <sheetName val="Média 1011-150 KI"/>
      <sheetName val="Virágzó Zugló 1011-201 KI"/>
      <sheetName val="Lakásgazd. 1013-169 KI"/>
      <sheetName val="Önk.fel. 1001-336 BE"/>
      <sheetName val="Kult.fel. 1001-200 BE"/>
      <sheetName val="Sportfel. 1001-116 BE"/>
      <sheetName val="Pályáz. 1001-335 BE"/>
      <sheetName val="Jogi fel. 1002-460 BE"/>
      <sheetName val="Jegyzői vegyes 1003-461 BE"/>
      <sheetName val="Közp.kv. 1005-109 BE"/>
      <sheetName val="Vegyes 1005-001 BE"/>
      <sheetName val="Intfin.és pm. 1005-203  BE"/>
      <sheetName val="Adó 1005-114 BE"/>
      <sheetName val="Szoc.fel. 1006-104 BE"/>
      <sheetName val="Köznev.fel. 1006-107 BE"/>
      <sheetName val="Igazg.fel. 1007-215 BE"/>
      <sheetName val="Műszaki fel. 1008-119 BE"/>
      <sheetName val="Főépít.fel. 1009-118 BE"/>
      <sheetName val="Üzem.fel. 1010-301 BE"/>
      <sheetName val="Önk.vagyon 1011-160 BE"/>
      <sheetName val="Városüzem. 1011-111 BE"/>
      <sheetName val="Kötvény 1011-199 BE"/>
      <sheetName val="Gyám1012-208 BE"/>
      <sheetName val="Lakásgazd. 1013-169 BE"/>
    </sheetNames>
    <sheetDataSet>
      <sheetData sheetId="3">
        <row r="14">
          <cell r="U14">
            <v>77330404</v>
          </cell>
          <cell r="X14">
            <v>16790404</v>
          </cell>
        </row>
        <row r="15">
          <cell r="U15">
            <v>1457789186</v>
          </cell>
          <cell r="X15">
            <v>26953186</v>
          </cell>
        </row>
        <row r="17">
          <cell r="U17">
            <v>11000000</v>
          </cell>
          <cell r="X17">
            <v>0</v>
          </cell>
        </row>
        <row r="18">
          <cell r="U18">
            <v>1283948221</v>
          </cell>
          <cell r="X18">
            <v>32881936</v>
          </cell>
        </row>
        <row r="22">
          <cell r="U22">
            <v>100000000</v>
          </cell>
        </row>
        <row r="23">
          <cell r="U23">
            <v>355869000</v>
          </cell>
        </row>
        <row r="24">
          <cell r="U24">
            <v>630060258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LŐIRÁNYZATOK"/>
      <sheetName val="címrend"/>
      <sheetName val="CIMLÉTSZÁM"/>
      <sheetName val="likv.terv"/>
      <sheetName val="KIEMELT ELŐIRÁNYZATOK gördülő"/>
    </sheetNames>
    <sheetDataSet>
      <sheetData sheetId="0">
        <row r="24">
          <cell r="U24">
            <v>100000</v>
          </cell>
        </row>
        <row r="25">
          <cell r="U25">
            <v>355869</v>
          </cell>
        </row>
        <row r="34">
          <cell r="U34">
            <v>1051172.31</v>
          </cell>
        </row>
        <row r="41">
          <cell r="U41">
            <v>630060</v>
          </cell>
        </row>
        <row r="208">
          <cell r="U208">
            <v>91772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LŐIRÁNYZATOK"/>
      <sheetName val="címrend"/>
      <sheetName val="CIMLÉTSZÁM"/>
      <sheetName val="likv.terv"/>
      <sheetName val="KIEMELT ELŐIRÁNYZATOK gördülő"/>
    </sheetNames>
    <sheetDataSet>
      <sheetData sheetId="0">
        <row r="12">
          <cell r="AC12">
            <v>2031096</v>
          </cell>
        </row>
        <row r="32">
          <cell r="U32">
            <v>2163155.69</v>
          </cell>
        </row>
        <row r="37">
          <cell r="AC37">
            <v>59254</v>
          </cell>
        </row>
        <row r="46">
          <cell r="AC46">
            <v>592124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2"/>
  <sheetViews>
    <sheetView showGridLines="0" tabSelected="1" view="pageBreakPreview" zoomScaleSheetLayoutView="100" zoomScalePageLayoutView="0" workbookViewId="0" topLeftCell="A198">
      <selection activeCell="J242" sqref="J242"/>
    </sheetView>
  </sheetViews>
  <sheetFormatPr defaultColWidth="10.625" defaultRowHeight="12.75"/>
  <cols>
    <col min="1" max="1" width="5.375" style="1249" customWidth="1"/>
    <col min="2" max="2" width="7.50390625" style="1251" customWidth="1"/>
    <col min="3" max="3" width="10.625" style="1292" customWidth="1"/>
    <col min="4" max="7" width="10.625" style="1251" customWidth="1"/>
    <col min="8" max="8" width="12.375" style="1251" customWidth="1"/>
    <col min="9" max="9" width="24.875" style="1250" customWidth="1"/>
    <col min="10" max="10" width="10.625" style="1248" customWidth="1"/>
    <col min="11" max="11" width="7.125" style="1249" customWidth="1"/>
    <col min="12" max="12" width="11.00390625" style="1250" customWidth="1"/>
    <col min="13" max="16384" width="10.625" style="1251" customWidth="1"/>
  </cols>
  <sheetData>
    <row r="1" spans="1:9" ht="12.75">
      <c r="A1" s="1245"/>
      <c r="B1" s="1246"/>
      <c r="C1" s="1247"/>
      <c r="D1" s="1246"/>
      <c r="E1" s="1246"/>
      <c r="F1" s="1246"/>
      <c r="G1" s="1246"/>
      <c r="H1" s="1246"/>
      <c r="I1" s="1246"/>
    </row>
    <row r="2" spans="1:12" s="1258" customFormat="1" ht="20.25">
      <c r="A2" s="1252"/>
      <c r="B2" s="1253"/>
      <c r="C2" s="1254"/>
      <c r="D2" s="1253"/>
      <c r="E2" s="1253"/>
      <c r="F2" s="1253"/>
      <c r="G2" s="1253"/>
      <c r="H2" s="1253"/>
      <c r="I2" s="1253"/>
      <c r="J2" s="1255"/>
      <c r="K2" s="1256"/>
      <c r="L2" s="1257"/>
    </row>
    <row r="3" spans="1:11" s="1259" customFormat="1" ht="81.75" customHeight="1">
      <c r="A3" s="1346" t="s">
        <v>660</v>
      </c>
      <c r="B3" s="1346"/>
      <c r="C3" s="1346"/>
      <c r="D3" s="1346"/>
      <c r="E3" s="1346"/>
      <c r="F3" s="1346"/>
      <c r="G3" s="1346"/>
      <c r="H3" s="1346"/>
      <c r="I3" s="1346"/>
      <c r="J3" s="1346"/>
      <c r="K3" s="1346"/>
    </row>
    <row r="4" spans="1:11" s="1259" customFormat="1" ht="33">
      <c r="A4" s="1346" t="s">
        <v>661</v>
      </c>
      <c r="B4" s="1346"/>
      <c r="C4" s="1346"/>
      <c r="D4" s="1346"/>
      <c r="E4" s="1346"/>
      <c r="F4" s="1346"/>
      <c r="G4" s="1346"/>
      <c r="H4" s="1346"/>
      <c r="I4" s="1346"/>
      <c r="J4" s="1346"/>
      <c r="K4" s="1346"/>
    </row>
    <row r="5" spans="1:11" s="1259" customFormat="1" ht="33">
      <c r="A5" s="1346" t="s">
        <v>561</v>
      </c>
      <c r="B5" s="1346"/>
      <c r="C5" s="1346"/>
      <c r="D5" s="1346"/>
      <c r="E5" s="1346"/>
      <c r="F5" s="1346"/>
      <c r="G5" s="1346"/>
      <c r="H5" s="1346"/>
      <c r="I5" s="1346"/>
      <c r="J5" s="1346"/>
      <c r="K5" s="1346"/>
    </row>
    <row r="6" spans="1:11" s="1259" customFormat="1" ht="33">
      <c r="A6" s="1346" t="s">
        <v>669</v>
      </c>
      <c r="B6" s="1346"/>
      <c r="C6" s="1346"/>
      <c r="D6" s="1346"/>
      <c r="E6" s="1346"/>
      <c r="F6" s="1346"/>
      <c r="G6" s="1346"/>
      <c r="H6" s="1346"/>
      <c r="I6" s="1346"/>
      <c r="J6" s="1346"/>
      <c r="K6" s="1346"/>
    </row>
    <row r="7" spans="1:11" s="1259" customFormat="1" ht="33">
      <c r="A7" s="1346" t="s">
        <v>252</v>
      </c>
      <c r="B7" s="1346"/>
      <c r="C7" s="1346"/>
      <c r="D7" s="1346"/>
      <c r="E7" s="1346"/>
      <c r="F7" s="1346"/>
      <c r="G7" s="1346"/>
      <c r="H7" s="1346"/>
      <c r="I7" s="1346"/>
      <c r="J7" s="1346"/>
      <c r="K7" s="1346"/>
    </row>
    <row r="8" spans="1:10" s="1263" customFormat="1" ht="42.75" customHeight="1">
      <c r="A8" s="1260"/>
      <c r="B8" s="1260"/>
      <c r="C8" s="1261"/>
      <c r="D8" s="1260"/>
      <c r="E8" s="1260"/>
      <c r="F8" s="1260"/>
      <c r="G8" s="1260"/>
      <c r="H8" s="1260"/>
      <c r="I8" s="1260"/>
      <c r="J8" s="1262"/>
    </row>
    <row r="9" spans="1:10" s="1264" customFormat="1" ht="33.75" customHeight="1">
      <c r="A9" s="1260"/>
      <c r="B9" s="1260"/>
      <c r="C9" s="1261"/>
      <c r="D9" s="1260"/>
      <c r="E9" s="1260"/>
      <c r="F9" s="1260"/>
      <c r="G9" s="1260"/>
      <c r="H9" s="1260"/>
      <c r="I9" s="1260"/>
      <c r="J9" s="1262"/>
    </row>
    <row r="10" spans="1:10" s="1265" customFormat="1" ht="103.5" customHeight="1">
      <c r="A10" s="1347"/>
      <c r="B10" s="1347"/>
      <c r="C10" s="1347"/>
      <c r="D10" s="1347"/>
      <c r="E10" s="1347"/>
      <c r="F10" s="1347"/>
      <c r="G10" s="1347"/>
      <c r="H10" s="1347"/>
      <c r="I10" s="1347"/>
      <c r="J10" s="1347"/>
    </row>
    <row r="11" spans="1:10" s="1265" customFormat="1" ht="23.25">
      <c r="A11" s="1347"/>
      <c r="B11" s="1347"/>
      <c r="C11" s="1347"/>
      <c r="D11" s="1347"/>
      <c r="E11" s="1347"/>
      <c r="F11" s="1347"/>
      <c r="G11" s="1347"/>
      <c r="H11" s="1347"/>
      <c r="I11" s="1347"/>
      <c r="J11" s="1347"/>
    </row>
    <row r="12" spans="1:10" s="1265" customFormat="1" ht="23.25">
      <c r="A12" s="1347"/>
      <c r="B12" s="1347"/>
      <c r="C12" s="1347"/>
      <c r="D12" s="1347"/>
      <c r="E12" s="1347"/>
      <c r="F12" s="1347"/>
      <c r="G12" s="1347"/>
      <c r="H12" s="1347"/>
      <c r="I12" s="1347"/>
      <c r="J12" s="1347"/>
    </row>
    <row r="13" spans="1:10" s="1269" customFormat="1" ht="15.75">
      <c r="A13" s="1266"/>
      <c r="B13" s="1266"/>
      <c r="C13" s="1267"/>
      <c r="D13" s="1266"/>
      <c r="E13" s="1266"/>
      <c r="F13" s="1266"/>
      <c r="G13" s="1266"/>
      <c r="H13" s="1266"/>
      <c r="I13" s="1266"/>
      <c r="J13" s="1268"/>
    </row>
    <row r="14" spans="1:10" s="1269" customFormat="1" ht="12" customHeight="1">
      <c r="A14" s="1266"/>
      <c r="B14" s="1266"/>
      <c r="C14" s="1267"/>
      <c r="D14" s="1266"/>
      <c r="E14" s="1266"/>
      <c r="F14" s="1266"/>
      <c r="G14" s="1266"/>
      <c r="H14" s="1266"/>
      <c r="I14" s="1266"/>
      <c r="J14" s="1268"/>
    </row>
    <row r="15" spans="3:10" s="1269" customFormat="1" ht="15.75" customHeight="1" hidden="1">
      <c r="C15" s="1270"/>
      <c r="I15" s="1271"/>
      <c r="J15" s="1268"/>
    </row>
    <row r="16" spans="3:10" s="1269" customFormat="1" ht="15.75" customHeight="1" hidden="1">
      <c r="C16" s="1270"/>
      <c r="I16" s="1271"/>
      <c r="J16" s="1268"/>
    </row>
    <row r="17" spans="3:10" s="1269" customFormat="1" ht="15.75" customHeight="1" hidden="1">
      <c r="C17" s="1270"/>
      <c r="I17" s="1271"/>
      <c r="J17" s="1268"/>
    </row>
    <row r="18" spans="3:10" s="1269" customFormat="1" ht="15.75">
      <c r="C18" s="1270"/>
      <c r="I18" s="1271"/>
      <c r="J18" s="1268"/>
    </row>
    <row r="19" spans="3:10" s="1269" customFormat="1" ht="15.75">
      <c r="C19" s="1270"/>
      <c r="I19" s="1271"/>
      <c r="J19" s="1268"/>
    </row>
    <row r="20" spans="3:10" s="1269" customFormat="1" ht="15.75">
      <c r="C20" s="1270"/>
      <c r="I20" s="1271"/>
      <c r="J20" s="1268"/>
    </row>
    <row r="21" spans="3:10" s="1269" customFormat="1" ht="15.75">
      <c r="C21" s="1270"/>
      <c r="H21" s="1272"/>
      <c r="I21" s="1271"/>
      <c r="J21" s="1268"/>
    </row>
    <row r="22" spans="1:11" s="1273" customFormat="1" ht="18">
      <c r="A22" s="1349"/>
      <c r="B22" s="1349"/>
      <c r="C22" s="1349"/>
      <c r="D22" s="1349"/>
      <c r="E22" s="1349"/>
      <c r="F22" s="1349"/>
      <c r="G22" s="1349"/>
      <c r="H22" s="1349"/>
      <c r="I22" s="1349"/>
      <c r="J22" s="1349"/>
      <c r="K22" s="1349"/>
    </row>
    <row r="23" spans="1:12" s="1275" customFormat="1" ht="81.75" customHeight="1" hidden="1">
      <c r="A23" s="1344" t="s">
        <v>660</v>
      </c>
      <c r="B23" s="1344"/>
      <c r="C23" s="1344"/>
      <c r="D23" s="1344"/>
      <c r="E23" s="1344"/>
      <c r="F23" s="1344"/>
      <c r="G23" s="1344"/>
      <c r="H23" s="1344"/>
      <c r="I23" s="1344"/>
      <c r="J23" s="1344"/>
      <c r="K23" s="1344"/>
      <c r="L23" s="1274"/>
    </row>
    <row r="24" spans="1:12" s="1275" customFormat="1" ht="33" hidden="1">
      <c r="A24" s="1344" t="s">
        <v>661</v>
      </c>
      <c r="B24" s="1344"/>
      <c r="C24" s="1344"/>
      <c r="D24" s="1344"/>
      <c r="E24" s="1344"/>
      <c r="F24" s="1344"/>
      <c r="G24" s="1344"/>
      <c r="H24" s="1344"/>
      <c r="I24" s="1344"/>
      <c r="J24" s="1344"/>
      <c r="K24" s="1344"/>
      <c r="L24" s="1274"/>
    </row>
    <row r="25" spans="1:12" s="1275" customFormat="1" ht="33" hidden="1">
      <c r="A25" s="1344" t="s">
        <v>177</v>
      </c>
      <c r="B25" s="1344"/>
      <c r="C25" s="1344"/>
      <c r="D25" s="1344"/>
      <c r="E25" s="1344"/>
      <c r="F25" s="1344"/>
      <c r="G25" s="1344"/>
      <c r="H25" s="1344"/>
      <c r="I25" s="1344"/>
      <c r="J25" s="1344"/>
      <c r="K25" s="1344"/>
      <c r="L25" s="1274"/>
    </row>
    <row r="26" spans="1:12" s="1275" customFormat="1" ht="36" customHeight="1" hidden="1">
      <c r="A26" s="1344" t="s">
        <v>811</v>
      </c>
      <c r="B26" s="1344"/>
      <c r="C26" s="1344"/>
      <c r="D26" s="1344"/>
      <c r="E26" s="1344"/>
      <c r="F26" s="1344"/>
      <c r="G26" s="1344"/>
      <c r="H26" s="1344"/>
      <c r="I26" s="1344"/>
      <c r="J26" s="1344"/>
      <c r="K26" s="1344"/>
      <c r="L26" s="1274"/>
    </row>
    <row r="27" spans="1:12" s="1275" customFormat="1" ht="33" hidden="1">
      <c r="A27" s="1276"/>
      <c r="B27" s="1276"/>
      <c r="C27" s="1277"/>
      <c r="D27" s="1276"/>
      <c r="E27" s="1276"/>
      <c r="F27" s="1276"/>
      <c r="G27" s="1276"/>
      <c r="H27" s="1276"/>
      <c r="I27" s="1276"/>
      <c r="J27" s="1278"/>
      <c r="L27" s="1274"/>
    </row>
    <row r="28" spans="1:12" s="1281" customFormat="1" ht="42.75" customHeight="1" hidden="1">
      <c r="A28" s="1279"/>
      <c r="B28" s="1279"/>
      <c r="C28" s="1261"/>
      <c r="D28" s="1279"/>
      <c r="E28" s="1279"/>
      <c r="F28" s="1279"/>
      <c r="G28" s="1279"/>
      <c r="H28" s="1279"/>
      <c r="I28" s="1279"/>
      <c r="J28" s="1280"/>
      <c r="L28" s="1282"/>
    </row>
    <row r="29" spans="1:12" s="1283" customFormat="1" ht="33.75" customHeight="1" hidden="1">
      <c r="A29" s="1279"/>
      <c r="B29" s="1279"/>
      <c r="C29" s="1261"/>
      <c r="D29" s="1279"/>
      <c r="E29" s="1279"/>
      <c r="F29" s="1279"/>
      <c r="G29" s="1279"/>
      <c r="H29" s="1279"/>
      <c r="I29" s="1279"/>
      <c r="J29" s="1280"/>
      <c r="L29" s="1282"/>
    </row>
    <row r="30" spans="1:12" s="1284" customFormat="1" ht="103.5" customHeight="1" hidden="1">
      <c r="A30" s="1348" t="s">
        <v>659</v>
      </c>
      <c r="B30" s="1348"/>
      <c r="C30" s="1348"/>
      <c r="D30" s="1348"/>
      <c r="E30" s="1348"/>
      <c r="F30" s="1348"/>
      <c r="G30" s="1348"/>
      <c r="H30" s="1348"/>
      <c r="I30" s="1348"/>
      <c r="J30" s="1348"/>
      <c r="L30" s="1285"/>
    </row>
    <row r="31" spans="1:12" s="1284" customFormat="1" ht="22.5" hidden="1">
      <c r="A31" s="1348" t="s">
        <v>812</v>
      </c>
      <c r="B31" s="1348"/>
      <c r="C31" s="1348"/>
      <c r="D31" s="1348"/>
      <c r="E31" s="1348"/>
      <c r="F31" s="1348"/>
      <c r="G31" s="1348"/>
      <c r="H31" s="1348"/>
      <c r="I31" s="1348"/>
      <c r="J31" s="1348"/>
      <c r="L31" s="1285"/>
    </row>
    <row r="32" spans="1:12" s="1284" customFormat="1" ht="22.5" hidden="1">
      <c r="A32" s="1348" t="s">
        <v>813</v>
      </c>
      <c r="B32" s="1348"/>
      <c r="C32" s="1348"/>
      <c r="D32" s="1348"/>
      <c r="E32" s="1348"/>
      <c r="F32" s="1348"/>
      <c r="G32" s="1348"/>
      <c r="H32" s="1348"/>
      <c r="I32" s="1348"/>
      <c r="J32" s="1348"/>
      <c r="L32" s="1285"/>
    </row>
    <row r="33" spans="1:12" s="1288" customFormat="1" ht="15.75" hidden="1">
      <c r="A33" s="1286"/>
      <c r="B33" s="1286"/>
      <c r="C33" s="1267"/>
      <c r="D33" s="1286"/>
      <c r="E33" s="1286"/>
      <c r="F33" s="1286"/>
      <c r="G33" s="1286"/>
      <c r="H33" s="1286"/>
      <c r="I33" s="1286"/>
      <c r="J33" s="1287"/>
      <c r="L33" s="1289"/>
    </row>
    <row r="34" spans="1:12" s="1288" customFormat="1" ht="12" customHeight="1" hidden="1">
      <c r="A34" s="1286"/>
      <c r="B34" s="1286"/>
      <c r="C34" s="1267"/>
      <c r="D34" s="1286"/>
      <c r="E34" s="1286"/>
      <c r="F34" s="1286"/>
      <c r="G34" s="1286"/>
      <c r="H34" s="1286"/>
      <c r="I34" s="1286"/>
      <c r="J34" s="1287"/>
      <c r="L34" s="1289"/>
    </row>
    <row r="35" spans="3:12" s="1288" customFormat="1" ht="15.75" customHeight="1" hidden="1">
      <c r="C35" s="1270"/>
      <c r="I35" s="1289"/>
      <c r="J35" s="1287"/>
      <c r="L35" s="1289"/>
    </row>
    <row r="36" spans="3:12" s="1288" customFormat="1" ht="15.75" customHeight="1" hidden="1">
      <c r="C36" s="1270"/>
      <c r="I36" s="1289"/>
      <c r="J36" s="1287"/>
      <c r="L36" s="1289"/>
    </row>
    <row r="37" spans="3:12" s="1288" customFormat="1" ht="15.75" customHeight="1" hidden="1">
      <c r="C37" s="1270"/>
      <c r="I37" s="1289"/>
      <c r="J37" s="1287"/>
      <c r="L37" s="1289"/>
    </row>
    <row r="38" spans="3:12" s="1288" customFormat="1" ht="15.75" hidden="1">
      <c r="C38" s="1270"/>
      <c r="I38" s="1289"/>
      <c r="J38" s="1287"/>
      <c r="L38" s="1289"/>
    </row>
    <row r="39" spans="3:12" s="1288" customFormat="1" ht="15.75" hidden="1">
      <c r="C39" s="1270"/>
      <c r="I39" s="1289"/>
      <c r="J39" s="1287"/>
      <c r="L39" s="1289"/>
    </row>
    <row r="40" spans="3:12" s="1288" customFormat="1" ht="15.75">
      <c r="C40" s="1270"/>
      <c r="I40" s="1289"/>
      <c r="J40" s="1287"/>
      <c r="L40" s="1289"/>
    </row>
    <row r="41" spans="3:12" s="1288" customFormat="1" ht="15.75">
      <c r="C41" s="1270"/>
      <c r="H41" s="1251"/>
      <c r="I41" s="1289"/>
      <c r="J41" s="1287"/>
      <c r="L41" s="1289"/>
    </row>
    <row r="42" spans="1:12" s="1291" customFormat="1" ht="18.75">
      <c r="A42" s="1345"/>
      <c r="B42" s="1345"/>
      <c r="C42" s="1345"/>
      <c r="D42" s="1345"/>
      <c r="E42" s="1345"/>
      <c r="F42" s="1345"/>
      <c r="G42" s="1345"/>
      <c r="H42" s="1345"/>
      <c r="I42" s="1345"/>
      <c r="J42" s="1345"/>
      <c r="K42" s="1345"/>
      <c r="L42" s="1290"/>
    </row>
    <row r="43" spans="1:12" s="1291" customFormat="1" ht="18.75">
      <c r="A43" s="1345"/>
      <c r="B43" s="1345"/>
      <c r="C43" s="1345"/>
      <c r="D43" s="1345"/>
      <c r="E43" s="1345"/>
      <c r="F43" s="1345"/>
      <c r="G43" s="1345"/>
      <c r="H43" s="1345"/>
      <c r="I43" s="1345"/>
      <c r="J43" s="1345"/>
      <c r="K43" s="1345"/>
      <c r="L43" s="1290"/>
    </row>
    <row r="44" spans="3:12" s="1288" customFormat="1" ht="0.75" customHeight="1">
      <c r="C44" s="1270"/>
      <c r="I44" s="1289"/>
      <c r="J44" s="1287"/>
      <c r="L44" s="1289"/>
    </row>
    <row r="45" spans="3:12" s="1288" customFormat="1" ht="15.75" customHeight="1" hidden="1">
      <c r="C45" s="1270"/>
      <c r="I45" s="1289"/>
      <c r="J45" s="1287"/>
      <c r="L45" s="1289"/>
    </row>
    <row r="46" spans="3:12" s="1288" customFormat="1" ht="3" customHeight="1">
      <c r="C46" s="1270"/>
      <c r="I46" s="1289"/>
      <c r="J46" s="1287"/>
      <c r="L46" s="1289"/>
    </row>
    <row r="47" ht="1.5" customHeight="1" hidden="1"/>
    <row r="48" ht="2.25" customHeight="1" hidden="1"/>
    <row r="49" spans="1:12" s="1293" customFormat="1" ht="20.25">
      <c r="A49" s="1256" t="s">
        <v>651</v>
      </c>
      <c r="C49" s="1294"/>
      <c r="I49" s="1290"/>
      <c r="J49" s="1295"/>
      <c r="L49" s="1290"/>
    </row>
    <row r="50" ht="6" customHeight="1"/>
    <row r="51" ht="6" customHeight="1"/>
    <row r="52" ht="18.75">
      <c r="A52" s="1293" t="s">
        <v>506</v>
      </c>
    </row>
    <row r="53" spans="1:12" s="1299" customFormat="1" ht="15.75">
      <c r="A53" s="1296" t="s">
        <v>483</v>
      </c>
      <c r="B53" s="1297"/>
      <c r="C53" s="1296"/>
      <c r="D53" s="1297"/>
      <c r="E53" s="1297"/>
      <c r="F53" s="1297"/>
      <c r="G53" s="1297"/>
      <c r="H53" s="1297"/>
      <c r="I53" s="1297"/>
      <c r="J53" s="1298"/>
      <c r="L53" s="1300"/>
    </row>
    <row r="54" spans="1:12" s="1299" customFormat="1" ht="15.75">
      <c r="A54" s="1296" t="s">
        <v>484</v>
      </c>
      <c r="B54" s="1297"/>
      <c r="C54" s="1296"/>
      <c r="D54" s="1297"/>
      <c r="F54" s="1297"/>
      <c r="G54" s="1297"/>
      <c r="H54" s="1297"/>
      <c r="I54" s="1297"/>
      <c r="J54" s="1301" t="s">
        <v>565</v>
      </c>
      <c r="K54" s="1302" t="s">
        <v>652</v>
      </c>
      <c r="L54" s="1300"/>
    </row>
    <row r="55" spans="1:12" s="1299" customFormat="1" ht="8.25" customHeight="1">
      <c r="A55" s="1296"/>
      <c r="B55" s="1297"/>
      <c r="C55" s="1296"/>
      <c r="D55" s="1297"/>
      <c r="F55" s="1297"/>
      <c r="G55" s="1297"/>
      <c r="H55" s="1297"/>
      <c r="I55" s="1297"/>
      <c r="J55" s="1303"/>
      <c r="K55" s="1304"/>
      <c r="L55" s="1300"/>
    </row>
    <row r="56" spans="1:12" s="1305" customFormat="1" ht="18.75">
      <c r="A56" s="1293" t="s">
        <v>508</v>
      </c>
      <c r="C56" s="1306"/>
      <c r="I56" s="1307"/>
      <c r="J56" s="1295"/>
      <c r="K56" s="1293"/>
      <c r="L56" s="1307"/>
    </row>
    <row r="57" spans="1:12" s="1299" customFormat="1" ht="13.5" customHeight="1">
      <c r="A57" s="1304" t="s">
        <v>814</v>
      </c>
      <c r="C57" s="1308"/>
      <c r="I57" s="1309"/>
      <c r="J57" s="1310"/>
      <c r="K57" s="1304"/>
      <c r="L57" s="1300"/>
    </row>
    <row r="58" spans="1:12" s="1299" customFormat="1" ht="13.5" customHeight="1">
      <c r="A58" s="1304" t="s">
        <v>510</v>
      </c>
      <c r="C58" s="1308"/>
      <c r="I58" s="1309"/>
      <c r="J58" s="1310" t="s">
        <v>917</v>
      </c>
      <c r="K58" s="1304" t="s">
        <v>652</v>
      </c>
      <c r="L58" s="1300"/>
    </row>
    <row r="59" spans="1:12" s="1299" customFormat="1" ht="13.5" customHeight="1">
      <c r="A59" s="1304"/>
      <c r="C59" s="1308"/>
      <c r="I59" s="1309"/>
      <c r="J59" s="1310"/>
      <c r="K59" s="1304"/>
      <c r="L59" s="1300"/>
    </row>
    <row r="60" spans="1:12" s="1299" customFormat="1" ht="0.75" customHeight="1">
      <c r="A60" s="1304"/>
      <c r="C60" s="1308"/>
      <c r="I60" s="1309"/>
      <c r="J60" s="1310"/>
      <c r="K60" s="1304"/>
      <c r="L60" s="1300"/>
    </row>
    <row r="61" spans="1:12" s="1305" customFormat="1" ht="18.75">
      <c r="A61" s="1293" t="s">
        <v>482</v>
      </c>
      <c r="C61" s="1306"/>
      <c r="I61" s="1307"/>
      <c r="J61" s="1295"/>
      <c r="K61" s="1293"/>
      <c r="L61" s="1307"/>
    </row>
    <row r="62" spans="1:12" s="1299" customFormat="1" ht="15.75">
      <c r="A62" s="1304" t="s">
        <v>507</v>
      </c>
      <c r="C62" s="1308"/>
      <c r="I62" s="1309"/>
      <c r="J62" s="1310" t="s">
        <v>918</v>
      </c>
      <c r="K62" s="1304" t="s">
        <v>652</v>
      </c>
      <c r="L62" s="1300"/>
    </row>
    <row r="63" spans="1:12" s="1299" customFormat="1" ht="11.25" customHeight="1">
      <c r="A63" s="1304"/>
      <c r="C63" s="1308"/>
      <c r="I63" s="1300"/>
      <c r="J63" s="1310"/>
      <c r="K63" s="1304"/>
      <c r="L63" s="1300"/>
    </row>
    <row r="64" spans="1:12" s="1299" customFormat="1" ht="0.75" customHeight="1" hidden="1">
      <c r="A64" s="1304"/>
      <c r="C64" s="1308"/>
      <c r="I64" s="1300"/>
      <c r="J64" s="1310"/>
      <c r="K64" s="1304"/>
      <c r="L64" s="1300"/>
    </row>
    <row r="65" spans="1:12" s="1299" customFormat="1" ht="12.75" customHeight="1" hidden="1">
      <c r="A65" s="1304"/>
      <c r="C65" s="1308"/>
      <c r="I65" s="1309"/>
      <c r="J65" s="1310"/>
      <c r="K65" s="1304"/>
      <c r="L65" s="1300"/>
    </row>
    <row r="66" spans="1:12" s="1299" customFormat="1" ht="0.75" customHeight="1">
      <c r="A66" s="1304"/>
      <c r="C66" s="1308"/>
      <c r="I66" s="1309"/>
      <c r="J66" s="1310"/>
      <c r="K66" s="1304"/>
      <c r="L66" s="1300"/>
    </row>
    <row r="67" spans="1:12" s="1299" customFormat="1" ht="0.75" customHeight="1">
      <c r="A67" s="1304"/>
      <c r="C67" s="1308"/>
      <c r="I67" s="1309"/>
      <c r="J67" s="1310"/>
      <c r="K67" s="1304"/>
      <c r="L67" s="1300"/>
    </row>
    <row r="68" spans="1:12" s="1305" customFormat="1" ht="23.25" customHeight="1">
      <c r="A68" s="1293" t="s">
        <v>129</v>
      </c>
      <c r="C68" s="1306"/>
      <c r="I68" s="1307"/>
      <c r="J68" s="1295"/>
      <c r="K68" s="1293"/>
      <c r="L68" s="1307"/>
    </row>
    <row r="69" spans="1:12" s="1299" customFormat="1" ht="21.75" customHeight="1" hidden="1">
      <c r="A69" s="1304" t="s">
        <v>357</v>
      </c>
      <c r="C69" s="1308"/>
      <c r="I69" s="1309"/>
      <c r="J69" s="1310"/>
      <c r="K69" s="1304"/>
      <c r="L69" s="1300"/>
    </row>
    <row r="70" spans="1:12" s="1299" customFormat="1" ht="6" customHeight="1">
      <c r="A70" s="1304"/>
      <c r="C70" s="1308"/>
      <c r="I70" s="1309"/>
      <c r="J70" s="1310"/>
      <c r="K70" s="1304"/>
      <c r="L70" s="1300"/>
    </row>
    <row r="71" spans="1:12" s="1299" customFormat="1" ht="15.75">
      <c r="A71" s="1304" t="s">
        <v>815</v>
      </c>
      <c r="C71" s="1308"/>
      <c r="I71" s="1309"/>
      <c r="J71" s="1310"/>
      <c r="K71" s="1304"/>
      <c r="L71" s="1300"/>
    </row>
    <row r="72" spans="1:12" s="1299" customFormat="1" ht="15.75">
      <c r="A72" s="1304"/>
      <c r="B72" s="1304" t="s">
        <v>344</v>
      </c>
      <c r="C72" s="1308"/>
      <c r="I72" s="1309"/>
      <c r="J72" s="1287" t="s">
        <v>154</v>
      </c>
      <c r="K72" s="1304" t="s">
        <v>652</v>
      </c>
      <c r="L72" s="1300"/>
    </row>
    <row r="73" spans="1:12" s="1299" customFormat="1" ht="10.5" customHeight="1">
      <c r="A73" s="1304"/>
      <c r="C73" s="1308"/>
      <c r="I73" s="1309"/>
      <c r="J73" s="1287"/>
      <c r="K73" s="1304"/>
      <c r="L73" s="1300"/>
    </row>
    <row r="74" spans="1:12" s="1299" customFormat="1" ht="9.75" customHeight="1">
      <c r="A74" s="1304"/>
      <c r="C74" s="1308"/>
      <c r="I74" s="1309"/>
      <c r="J74" s="1287"/>
      <c r="K74" s="1304"/>
      <c r="L74" s="1300"/>
    </row>
    <row r="75" spans="1:12" s="1299" customFormat="1" ht="0.75" customHeight="1">
      <c r="A75" s="1304"/>
      <c r="C75" s="1308"/>
      <c r="I75" s="1309"/>
      <c r="J75" s="1287"/>
      <c r="K75" s="1304"/>
      <c r="L75" s="1300"/>
    </row>
    <row r="76" spans="1:12" s="1299" customFormat="1" ht="15.75">
      <c r="A76" s="1304" t="s">
        <v>816</v>
      </c>
      <c r="C76" s="1308"/>
      <c r="I76" s="1309"/>
      <c r="J76" s="1287"/>
      <c r="K76" s="1304"/>
      <c r="L76" s="1300"/>
    </row>
    <row r="77" spans="2:12" s="1304" customFormat="1" ht="15.75">
      <c r="B77" s="1304" t="s">
        <v>104</v>
      </c>
      <c r="C77" s="1311"/>
      <c r="I77" s="1312"/>
      <c r="J77" s="1287"/>
      <c r="L77" s="1289"/>
    </row>
    <row r="78" spans="2:12" s="1304" customFormat="1" ht="15.75">
      <c r="B78" s="1304" t="s">
        <v>356</v>
      </c>
      <c r="C78" s="1311"/>
      <c r="I78" s="1312"/>
      <c r="J78" s="1287"/>
      <c r="L78" s="1289"/>
    </row>
    <row r="79" spans="1:12" s="1299" customFormat="1" ht="15.75">
      <c r="A79" s="1304"/>
      <c r="B79" s="1313" t="s">
        <v>122</v>
      </c>
      <c r="C79" s="1308"/>
      <c r="I79" s="1300"/>
      <c r="J79" s="1287"/>
      <c r="K79" s="1304"/>
      <c r="L79" s="1300"/>
    </row>
    <row r="80" spans="1:12" s="1299" customFormat="1" ht="15.75">
      <c r="A80" s="1289"/>
      <c r="B80" s="1289" t="s">
        <v>39</v>
      </c>
      <c r="C80" s="1292" t="s">
        <v>486</v>
      </c>
      <c r="I80" s="1300"/>
      <c r="J80" s="1287" t="s">
        <v>155</v>
      </c>
      <c r="K80" s="1304" t="s">
        <v>652</v>
      </c>
      <c r="L80" s="1300"/>
    </row>
    <row r="81" spans="1:12" s="1299" customFormat="1" ht="15.75">
      <c r="A81" s="1289"/>
      <c r="B81" s="1289" t="s">
        <v>40</v>
      </c>
      <c r="C81" s="1292" t="s">
        <v>343</v>
      </c>
      <c r="I81" s="1300"/>
      <c r="J81" s="1287" t="s">
        <v>156</v>
      </c>
      <c r="K81" s="1304" t="s">
        <v>652</v>
      </c>
      <c r="L81" s="1300"/>
    </row>
    <row r="82" spans="1:12" s="1299" customFormat="1" ht="15.75">
      <c r="A82" s="1304"/>
      <c r="B82" s="1312" t="s">
        <v>41</v>
      </c>
      <c r="C82" s="1314" t="s">
        <v>19</v>
      </c>
      <c r="I82" s="1300"/>
      <c r="J82" s="1287" t="s">
        <v>157</v>
      </c>
      <c r="K82" s="1304" t="s">
        <v>652</v>
      </c>
      <c r="L82" s="1300"/>
    </row>
    <row r="83" spans="1:12" s="1299" customFormat="1" ht="15.75">
      <c r="A83" s="1304"/>
      <c r="B83" s="1312" t="s">
        <v>42</v>
      </c>
      <c r="C83" s="1314" t="s">
        <v>626</v>
      </c>
      <c r="D83" s="1315"/>
      <c r="I83" s="1300"/>
      <c r="J83" s="1287" t="s">
        <v>158</v>
      </c>
      <c r="K83" s="1304" t="s">
        <v>652</v>
      </c>
      <c r="L83" s="1300"/>
    </row>
    <row r="84" spans="1:12" s="1299" customFormat="1" ht="15.75">
      <c r="A84" s="1304"/>
      <c r="B84" s="1312" t="s">
        <v>43</v>
      </c>
      <c r="C84" s="1314" t="s">
        <v>295</v>
      </c>
      <c r="D84" s="1315"/>
      <c r="I84" s="1300"/>
      <c r="J84" s="1287" t="s">
        <v>159</v>
      </c>
      <c r="K84" s="1304" t="s">
        <v>652</v>
      </c>
      <c r="L84" s="1300"/>
    </row>
    <row r="85" spans="1:12" s="1299" customFormat="1" ht="15.75">
      <c r="A85" s="1304"/>
      <c r="B85" s="1312" t="s">
        <v>44</v>
      </c>
      <c r="C85" s="1316" t="s">
        <v>426</v>
      </c>
      <c r="D85" s="1312"/>
      <c r="I85" s="1300"/>
      <c r="J85" s="1287" t="s">
        <v>160</v>
      </c>
      <c r="K85" s="1304" t="s">
        <v>652</v>
      </c>
      <c r="L85" s="1300"/>
    </row>
    <row r="86" spans="1:12" s="1299" customFormat="1" ht="15.75">
      <c r="A86" s="1304"/>
      <c r="B86" s="1312" t="s">
        <v>45</v>
      </c>
      <c r="C86" s="1316" t="s">
        <v>520</v>
      </c>
      <c r="D86" s="1312"/>
      <c r="I86" s="1300"/>
      <c r="J86" s="1287" t="s">
        <v>161</v>
      </c>
      <c r="K86" s="1304" t="s">
        <v>652</v>
      </c>
      <c r="L86" s="1300"/>
    </row>
    <row r="87" spans="1:12" s="1299" customFormat="1" ht="15.75">
      <c r="A87" s="1304"/>
      <c r="B87" s="1312" t="s">
        <v>46</v>
      </c>
      <c r="C87" s="1316" t="s">
        <v>664</v>
      </c>
      <c r="D87" s="1317"/>
      <c r="I87" s="1300"/>
      <c r="J87" s="1287" t="s">
        <v>162</v>
      </c>
      <c r="K87" s="1304" t="s">
        <v>652</v>
      </c>
      <c r="L87" s="1300"/>
    </row>
    <row r="88" spans="1:12" s="1299" customFormat="1" ht="15.75">
      <c r="A88" s="1304"/>
      <c r="B88" s="1312" t="s">
        <v>47</v>
      </c>
      <c r="C88" s="1316" t="s">
        <v>514</v>
      </c>
      <c r="D88" s="1317"/>
      <c r="I88" s="1300"/>
      <c r="J88" s="1287" t="s">
        <v>380</v>
      </c>
      <c r="K88" s="1304" t="s">
        <v>652</v>
      </c>
      <c r="L88" s="1300"/>
    </row>
    <row r="89" spans="1:12" s="1299" customFormat="1" ht="15.75">
      <c r="A89" s="1304"/>
      <c r="B89" s="1318" t="s">
        <v>48</v>
      </c>
      <c r="C89" s="1319" t="s">
        <v>515</v>
      </c>
      <c r="D89" s="1320"/>
      <c r="E89" s="1321"/>
      <c r="I89" s="1300"/>
      <c r="J89" s="1287" t="s">
        <v>381</v>
      </c>
      <c r="K89" s="1304" t="s">
        <v>652</v>
      </c>
      <c r="L89" s="1300"/>
    </row>
    <row r="90" spans="1:12" s="1299" customFormat="1" ht="15.75">
      <c r="A90" s="1304"/>
      <c r="B90" s="1318" t="s">
        <v>49</v>
      </c>
      <c r="C90" s="1319" t="s">
        <v>516</v>
      </c>
      <c r="D90" s="1320"/>
      <c r="E90" s="1321"/>
      <c r="I90" s="1300"/>
      <c r="J90" s="1287" t="s">
        <v>163</v>
      </c>
      <c r="K90" s="1304" t="s">
        <v>652</v>
      </c>
      <c r="L90" s="1300"/>
    </row>
    <row r="91" spans="1:12" s="1299" customFormat="1" ht="15.75">
      <c r="A91" s="1304"/>
      <c r="B91" s="1318" t="s">
        <v>50</v>
      </c>
      <c r="C91" s="1314" t="s">
        <v>374</v>
      </c>
      <c r="D91" s="1320"/>
      <c r="E91" s="1321"/>
      <c r="I91" s="1300"/>
      <c r="J91" s="1287" t="s">
        <v>118</v>
      </c>
      <c r="K91" s="1304" t="s">
        <v>652</v>
      </c>
      <c r="L91" s="1300"/>
    </row>
    <row r="92" spans="1:12" s="1299" customFormat="1" ht="15.75">
      <c r="A92" s="1304"/>
      <c r="B92" s="1318" t="s">
        <v>50</v>
      </c>
      <c r="C92" s="1319" t="s">
        <v>405</v>
      </c>
      <c r="D92" s="1320"/>
      <c r="E92" s="1321"/>
      <c r="I92" s="1300"/>
      <c r="J92" s="1287" t="s">
        <v>119</v>
      </c>
      <c r="K92" s="1304" t="s">
        <v>652</v>
      </c>
      <c r="L92" s="1300"/>
    </row>
    <row r="93" spans="1:12" s="1299" customFormat="1" ht="15.75">
      <c r="A93" s="1304"/>
      <c r="B93" s="1312" t="s">
        <v>51</v>
      </c>
      <c r="C93" s="1316" t="s">
        <v>517</v>
      </c>
      <c r="D93" s="1317"/>
      <c r="I93" s="1300"/>
      <c r="J93" s="1287" t="s">
        <v>132</v>
      </c>
      <c r="K93" s="1304" t="s">
        <v>652</v>
      </c>
      <c r="L93" s="1300"/>
    </row>
    <row r="94" spans="1:12" s="1299" customFormat="1" ht="15.75">
      <c r="A94" s="1304"/>
      <c r="B94" s="1312" t="s">
        <v>52</v>
      </c>
      <c r="C94" s="1316" t="s">
        <v>665</v>
      </c>
      <c r="D94" s="1317"/>
      <c r="I94" s="1300"/>
      <c r="J94" s="1287" t="s">
        <v>133</v>
      </c>
      <c r="K94" s="1304" t="s">
        <v>652</v>
      </c>
      <c r="L94" s="1300"/>
    </row>
    <row r="95" spans="1:12" s="1299" customFormat="1" ht="15.75">
      <c r="A95" s="1304"/>
      <c r="B95" s="1312" t="s">
        <v>53</v>
      </c>
      <c r="C95" s="1319" t="s">
        <v>622</v>
      </c>
      <c r="D95" s="1320"/>
      <c r="I95" s="1300"/>
      <c r="J95" s="1287" t="s">
        <v>134</v>
      </c>
      <c r="K95" s="1304" t="s">
        <v>652</v>
      </c>
      <c r="L95" s="1300"/>
    </row>
    <row r="96" spans="1:12" s="1299" customFormat="1" ht="15.75">
      <c r="A96" s="1304"/>
      <c r="B96" s="1312" t="s">
        <v>54</v>
      </c>
      <c r="C96" s="1319" t="s">
        <v>653</v>
      </c>
      <c r="D96" s="1320"/>
      <c r="I96" s="1300"/>
      <c r="J96" s="1287" t="s">
        <v>164</v>
      </c>
      <c r="K96" s="1304" t="s">
        <v>652</v>
      </c>
      <c r="L96" s="1300"/>
    </row>
    <row r="97" spans="1:12" s="1299" customFormat="1" ht="15.75">
      <c r="A97" s="1304"/>
      <c r="B97" s="1312" t="s">
        <v>55</v>
      </c>
      <c r="C97" s="1319" t="s">
        <v>623</v>
      </c>
      <c r="D97" s="1320"/>
      <c r="I97" s="1300"/>
      <c r="J97" s="1287" t="s">
        <v>428</v>
      </c>
      <c r="K97" s="1304" t="s">
        <v>652</v>
      </c>
      <c r="L97" s="1300"/>
    </row>
    <row r="98" spans="1:12" s="1299" customFormat="1" ht="15.75">
      <c r="A98" s="1304"/>
      <c r="B98" s="1312" t="s">
        <v>56</v>
      </c>
      <c r="C98" s="1316" t="s">
        <v>668</v>
      </c>
      <c r="D98" s="1317"/>
      <c r="I98" s="1300"/>
      <c r="J98" s="1287" t="s">
        <v>429</v>
      </c>
      <c r="K98" s="1304" t="s">
        <v>652</v>
      </c>
      <c r="L98" s="1300"/>
    </row>
    <row r="99" spans="1:12" s="1299" customFormat="1" ht="15.75">
      <c r="A99" s="1304"/>
      <c r="B99" s="1312" t="s">
        <v>57</v>
      </c>
      <c r="C99" s="1316" t="s">
        <v>657</v>
      </c>
      <c r="D99" s="1317"/>
      <c r="I99" s="1300"/>
      <c r="J99" s="1287" t="s">
        <v>430</v>
      </c>
      <c r="K99" s="1304" t="s">
        <v>652</v>
      </c>
      <c r="L99" s="1300"/>
    </row>
    <row r="100" spans="1:12" s="1299" customFormat="1" ht="15.75">
      <c r="A100" s="1304"/>
      <c r="B100" s="1312" t="s">
        <v>58</v>
      </c>
      <c r="C100" s="1316" t="s">
        <v>278</v>
      </c>
      <c r="D100" s="1317"/>
      <c r="I100" s="1300"/>
      <c r="J100" s="1287" t="s">
        <v>431</v>
      </c>
      <c r="K100" s="1304" t="s">
        <v>652</v>
      </c>
      <c r="L100" s="1300"/>
    </row>
    <row r="101" spans="1:12" s="1299" customFormat="1" ht="15.75">
      <c r="A101" s="1304"/>
      <c r="B101" s="1312" t="s">
        <v>59</v>
      </c>
      <c r="C101" s="1316" t="s">
        <v>654</v>
      </c>
      <c r="D101" s="1317"/>
      <c r="I101" s="1300"/>
      <c r="J101" s="1287" t="s">
        <v>432</v>
      </c>
      <c r="K101" s="1304" t="s">
        <v>652</v>
      </c>
      <c r="L101" s="1300"/>
    </row>
    <row r="102" spans="1:12" s="1299" customFormat="1" ht="15.75">
      <c r="A102" s="1304"/>
      <c r="B102" s="1312" t="s">
        <v>59</v>
      </c>
      <c r="C102" s="1316" t="s">
        <v>666</v>
      </c>
      <c r="D102" s="1317"/>
      <c r="I102" s="1300"/>
      <c r="J102" s="1287" t="s">
        <v>135</v>
      </c>
      <c r="K102" s="1304" t="s">
        <v>652</v>
      </c>
      <c r="L102" s="1300"/>
    </row>
    <row r="103" spans="1:12" s="1299" customFormat="1" ht="15.75">
      <c r="A103" s="1304"/>
      <c r="B103" s="1312" t="s">
        <v>60</v>
      </c>
      <c r="C103" s="1316" t="s">
        <v>624</v>
      </c>
      <c r="D103" s="1317"/>
      <c r="I103" s="1300"/>
      <c r="J103" s="1287" t="s">
        <v>136</v>
      </c>
      <c r="K103" s="1304" t="s">
        <v>652</v>
      </c>
      <c r="L103" s="1300"/>
    </row>
    <row r="104" spans="1:12" s="1299" customFormat="1" ht="15.75">
      <c r="A104" s="1304"/>
      <c r="B104" s="1312" t="s">
        <v>61</v>
      </c>
      <c r="C104" s="1316" t="s">
        <v>518</v>
      </c>
      <c r="D104" s="1317"/>
      <c r="I104" s="1300"/>
      <c r="J104" s="1287" t="s">
        <v>120</v>
      </c>
      <c r="K104" s="1304" t="s">
        <v>652</v>
      </c>
      <c r="L104" s="1300"/>
    </row>
    <row r="105" spans="1:12" s="1299" customFormat="1" ht="15.75">
      <c r="A105" s="1304"/>
      <c r="B105" s="1312" t="s">
        <v>62</v>
      </c>
      <c r="C105" s="1316" t="s">
        <v>602</v>
      </c>
      <c r="D105" s="1317"/>
      <c r="I105" s="1300"/>
      <c r="J105" s="1287" t="s">
        <v>433</v>
      </c>
      <c r="K105" s="1304" t="s">
        <v>652</v>
      </c>
      <c r="L105" s="1300"/>
    </row>
    <row r="106" spans="1:12" s="1299" customFormat="1" ht="15.75">
      <c r="A106" s="1304"/>
      <c r="B106" s="1312" t="s">
        <v>63</v>
      </c>
      <c r="C106" s="1316" t="s">
        <v>667</v>
      </c>
      <c r="D106" s="1317"/>
      <c r="I106" s="1300"/>
      <c r="J106" s="1287" t="s">
        <v>121</v>
      </c>
      <c r="K106" s="1304" t="s">
        <v>652</v>
      </c>
      <c r="L106" s="1300"/>
    </row>
    <row r="107" spans="1:12" s="1299" customFormat="1" ht="15.75">
      <c r="A107" s="1304"/>
      <c r="B107" s="1312" t="s">
        <v>64</v>
      </c>
      <c r="C107" s="1316" t="s">
        <v>519</v>
      </c>
      <c r="D107" s="1317"/>
      <c r="I107" s="1300"/>
      <c r="J107" s="1287" t="s">
        <v>434</v>
      </c>
      <c r="K107" s="1304" t="s">
        <v>652</v>
      </c>
      <c r="L107" s="1300"/>
    </row>
    <row r="108" spans="1:12" s="1299" customFormat="1" ht="15.75">
      <c r="A108" s="1304"/>
      <c r="B108" s="1312" t="s">
        <v>65</v>
      </c>
      <c r="C108" s="1316" t="s">
        <v>625</v>
      </c>
      <c r="D108" s="1317"/>
      <c r="I108" s="1300"/>
      <c r="J108" s="1287" t="s">
        <v>435</v>
      </c>
      <c r="K108" s="1304" t="s">
        <v>652</v>
      </c>
      <c r="L108" s="1300"/>
    </row>
    <row r="109" spans="1:12" s="1299" customFormat="1" ht="15.75">
      <c r="A109" s="1304"/>
      <c r="B109" s="1312" t="s">
        <v>66</v>
      </c>
      <c r="C109" s="1316" t="s">
        <v>485</v>
      </c>
      <c r="D109" s="1317"/>
      <c r="I109" s="1300"/>
      <c r="J109" s="1287" t="s">
        <v>436</v>
      </c>
      <c r="K109" s="1304" t="s">
        <v>652</v>
      </c>
      <c r="L109" s="1300"/>
    </row>
    <row r="110" spans="1:12" s="1299" customFormat="1" ht="15.75">
      <c r="A110" s="1304"/>
      <c r="B110" s="1312" t="s">
        <v>67</v>
      </c>
      <c r="C110" s="1316" t="s">
        <v>658</v>
      </c>
      <c r="D110" s="1317"/>
      <c r="I110" s="1300"/>
      <c r="J110" s="1287" t="s">
        <v>125</v>
      </c>
      <c r="K110" s="1304" t="s">
        <v>652</v>
      </c>
      <c r="L110" s="1300"/>
    </row>
    <row r="111" spans="1:12" s="1299" customFormat="1" ht="15.75">
      <c r="A111" s="1304"/>
      <c r="B111" s="1312" t="s">
        <v>68</v>
      </c>
      <c r="C111" s="1322" t="s">
        <v>21</v>
      </c>
      <c r="D111" s="1317"/>
      <c r="I111" s="1300"/>
      <c r="J111" s="1287" t="s">
        <v>437</v>
      </c>
      <c r="K111" s="1304" t="s">
        <v>652</v>
      </c>
      <c r="L111" s="1300"/>
    </row>
    <row r="112" spans="1:12" s="1299" customFormat="1" ht="15.75">
      <c r="A112" s="1304"/>
      <c r="B112" s="1318" t="s">
        <v>68</v>
      </c>
      <c r="C112" s="1319" t="s">
        <v>175</v>
      </c>
      <c r="D112" s="1320"/>
      <c r="E112" s="1321"/>
      <c r="I112" s="1300"/>
      <c r="J112" s="1287" t="s">
        <v>438</v>
      </c>
      <c r="K112" s="1304" t="s">
        <v>652</v>
      </c>
      <c r="L112" s="1300"/>
    </row>
    <row r="113" spans="1:12" s="1299" customFormat="1" ht="15.75">
      <c r="A113" s="1304"/>
      <c r="B113" s="1318" t="s">
        <v>69</v>
      </c>
      <c r="C113" s="1319" t="s">
        <v>20</v>
      </c>
      <c r="D113" s="1320"/>
      <c r="E113" s="1321"/>
      <c r="I113" s="1300"/>
      <c r="J113" s="1287" t="s">
        <v>126</v>
      </c>
      <c r="K113" s="1304" t="s">
        <v>652</v>
      </c>
      <c r="L113" s="1300"/>
    </row>
    <row r="114" spans="1:12" s="1299" customFormat="1" ht="15.75" hidden="1">
      <c r="A114" s="1304"/>
      <c r="B114" s="1304"/>
      <c r="C114" s="1308"/>
      <c r="D114" s="1289"/>
      <c r="E114" s="1299" t="s">
        <v>542</v>
      </c>
      <c r="I114" s="1300"/>
      <c r="J114" s="1287"/>
      <c r="K114" s="1304" t="s">
        <v>652</v>
      </c>
      <c r="L114" s="1300"/>
    </row>
    <row r="115" spans="1:12" s="1299" customFormat="1" ht="15.75">
      <c r="A115" s="1304"/>
      <c r="B115" s="1304"/>
      <c r="C115" s="1308"/>
      <c r="D115" s="1289"/>
      <c r="I115" s="1300"/>
      <c r="J115" s="1287"/>
      <c r="K115" s="1304"/>
      <c r="L115" s="1300"/>
    </row>
    <row r="116" spans="1:12" s="1299" customFormat="1" ht="15.75">
      <c r="A116" s="1304"/>
      <c r="B116" s="1313" t="s">
        <v>123</v>
      </c>
      <c r="C116" s="1308"/>
      <c r="I116" s="1300"/>
      <c r="J116" s="1287"/>
      <c r="K116" s="1304"/>
      <c r="L116" s="1300"/>
    </row>
    <row r="117" spans="1:12" s="1299" customFormat="1" ht="15.75">
      <c r="A117" s="1289"/>
      <c r="B117" s="1289" t="s">
        <v>70</v>
      </c>
      <c r="C117" s="1323" t="s">
        <v>486</v>
      </c>
      <c r="I117" s="1300"/>
      <c r="J117" s="1287" t="s">
        <v>439</v>
      </c>
      <c r="K117" s="1304" t="s">
        <v>652</v>
      </c>
      <c r="L117" s="1300"/>
    </row>
    <row r="118" spans="1:12" s="1299" customFormat="1" ht="15.75">
      <c r="A118" s="1289"/>
      <c r="B118" s="1289" t="s">
        <v>71</v>
      </c>
      <c r="C118" s="1323" t="s">
        <v>343</v>
      </c>
      <c r="I118" s="1300"/>
      <c r="J118" s="1287" t="s">
        <v>440</v>
      </c>
      <c r="K118" s="1304" t="s">
        <v>652</v>
      </c>
      <c r="L118" s="1300"/>
    </row>
    <row r="119" spans="1:12" s="1299" customFormat="1" ht="15.75">
      <c r="A119" s="1304"/>
      <c r="B119" s="1312" t="s">
        <v>72</v>
      </c>
      <c r="C119" s="1324" t="s">
        <v>19</v>
      </c>
      <c r="I119" s="1300"/>
      <c r="J119" s="1287" t="s">
        <v>441</v>
      </c>
      <c r="K119" s="1304" t="s">
        <v>652</v>
      </c>
      <c r="L119" s="1300"/>
    </row>
    <row r="120" spans="1:12" s="1299" customFormat="1" ht="15.75">
      <c r="A120" s="1304"/>
      <c r="B120" s="1312" t="s">
        <v>73</v>
      </c>
      <c r="C120" s="1324" t="s">
        <v>626</v>
      </c>
      <c r="D120" s="1315"/>
      <c r="I120" s="1300"/>
      <c r="J120" s="1287" t="s">
        <v>127</v>
      </c>
      <c r="K120" s="1304" t="s">
        <v>652</v>
      </c>
      <c r="L120" s="1300"/>
    </row>
    <row r="121" spans="1:12" s="1299" customFormat="1" ht="15.75">
      <c r="A121" s="1304"/>
      <c r="B121" s="1312" t="s">
        <v>74</v>
      </c>
      <c r="C121" s="1314" t="s">
        <v>295</v>
      </c>
      <c r="D121" s="1315"/>
      <c r="I121" s="1300"/>
      <c r="J121" s="1287" t="s">
        <v>442</v>
      </c>
      <c r="K121" s="1304" t="s">
        <v>652</v>
      </c>
      <c r="L121" s="1300"/>
    </row>
    <row r="122" spans="1:12" s="1299" customFormat="1" ht="15.75">
      <c r="A122" s="1304"/>
      <c r="B122" s="1312" t="s">
        <v>75</v>
      </c>
      <c r="C122" s="1316" t="s">
        <v>426</v>
      </c>
      <c r="D122" s="1312"/>
      <c r="I122" s="1300"/>
      <c r="J122" s="1287" t="s">
        <v>443</v>
      </c>
      <c r="K122" s="1304" t="s">
        <v>652</v>
      </c>
      <c r="L122" s="1300"/>
    </row>
    <row r="123" spans="1:12" s="1299" customFormat="1" ht="15.75">
      <c r="A123" s="1304"/>
      <c r="B123" s="1312" t="s">
        <v>76</v>
      </c>
      <c r="C123" s="1316" t="s">
        <v>520</v>
      </c>
      <c r="D123" s="1312"/>
      <c r="I123" s="1300"/>
      <c r="J123" s="1287" t="s">
        <v>444</v>
      </c>
      <c r="K123" s="1304" t="s">
        <v>652</v>
      </c>
      <c r="L123" s="1300"/>
    </row>
    <row r="124" spans="1:12" s="1299" customFormat="1" ht="15.75">
      <c r="A124" s="1304"/>
      <c r="B124" s="1312" t="s">
        <v>77</v>
      </c>
      <c r="C124" s="1316" t="s">
        <v>664</v>
      </c>
      <c r="D124" s="1317"/>
      <c r="I124" s="1300"/>
      <c r="J124" s="1287" t="s">
        <v>445</v>
      </c>
      <c r="K124" s="1304" t="s">
        <v>652</v>
      </c>
      <c r="L124" s="1300"/>
    </row>
    <row r="125" spans="1:12" s="1299" customFormat="1" ht="15.75">
      <c r="A125" s="1304"/>
      <c r="B125" s="1312" t="s">
        <v>78</v>
      </c>
      <c r="C125" s="1316" t="s">
        <v>514</v>
      </c>
      <c r="D125" s="1317"/>
      <c r="I125" s="1300"/>
      <c r="J125" s="1287" t="s">
        <v>446</v>
      </c>
      <c r="K125" s="1304" t="s">
        <v>652</v>
      </c>
      <c r="L125" s="1300"/>
    </row>
    <row r="126" spans="1:12" s="1299" customFormat="1" ht="15.75">
      <c r="A126" s="1304"/>
      <c r="B126" s="1318" t="s">
        <v>79</v>
      </c>
      <c r="C126" s="1319" t="s">
        <v>515</v>
      </c>
      <c r="D126" s="1320"/>
      <c r="E126" s="1321"/>
      <c r="I126" s="1300"/>
      <c r="J126" s="1287" t="s">
        <v>447</v>
      </c>
      <c r="K126" s="1304" t="s">
        <v>652</v>
      </c>
      <c r="L126" s="1300"/>
    </row>
    <row r="127" spans="1:12" s="1299" customFormat="1" ht="15.75">
      <c r="A127" s="1304"/>
      <c r="B127" s="1318" t="s">
        <v>80</v>
      </c>
      <c r="C127" s="1319" t="s">
        <v>516</v>
      </c>
      <c r="D127" s="1320"/>
      <c r="E127" s="1321"/>
      <c r="I127" s="1300"/>
      <c r="J127" s="1287" t="s">
        <v>448</v>
      </c>
      <c r="K127" s="1304" t="s">
        <v>652</v>
      </c>
      <c r="L127" s="1300"/>
    </row>
    <row r="128" spans="1:12" s="1299" customFormat="1" ht="15.75">
      <c r="A128" s="1304"/>
      <c r="B128" s="1318" t="s">
        <v>81</v>
      </c>
      <c r="C128" s="1314" t="s">
        <v>374</v>
      </c>
      <c r="D128" s="1320"/>
      <c r="E128" s="1321"/>
      <c r="I128" s="1300"/>
      <c r="J128" s="1287" t="s">
        <v>449</v>
      </c>
      <c r="K128" s="1304" t="s">
        <v>652</v>
      </c>
      <c r="L128" s="1300"/>
    </row>
    <row r="129" spans="1:12" s="1299" customFormat="1" ht="15.75">
      <c r="A129" s="1304"/>
      <c r="B129" s="1318" t="s">
        <v>81</v>
      </c>
      <c r="C129" s="1319" t="s">
        <v>405</v>
      </c>
      <c r="D129" s="1320"/>
      <c r="E129" s="1321"/>
      <c r="I129" s="1300"/>
      <c r="J129" s="1287" t="s">
        <v>450</v>
      </c>
      <c r="K129" s="1304" t="s">
        <v>652</v>
      </c>
      <c r="L129" s="1300"/>
    </row>
    <row r="130" spans="1:12" s="1299" customFormat="1" ht="15.75">
      <c r="A130" s="1304"/>
      <c r="B130" s="1312" t="s">
        <v>82</v>
      </c>
      <c r="C130" s="1316" t="s">
        <v>517</v>
      </c>
      <c r="D130" s="1317"/>
      <c r="I130" s="1300"/>
      <c r="J130" s="1287" t="s">
        <v>451</v>
      </c>
      <c r="K130" s="1304" t="s">
        <v>652</v>
      </c>
      <c r="L130" s="1300"/>
    </row>
    <row r="131" spans="1:12" s="1299" customFormat="1" ht="15.75">
      <c r="A131" s="1304"/>
      <c r="B131" s="1312" t="s">
        <v>83</v>
      </c>
      <c r="C131" s="1316" t="s">
        <v>665</v>
      </c>
      <c r="D131" s="1317"/>
      <c r="I131" s="1300"/>
      <c r="J131" s="1287" t="s">
        <v>522</v>
      </c>
      <c r="K131" s="1304" t="s">
        <v>652</v>
      </c>
      <c r="L131" s="1300"/>
    </row>
    <row r="132" spans="1:12" s="1299" customFormat="1" ht="15.75">
      <c r="A132" s="1304"/>
      <c r="B132" s="1312" t="s">
        <v>84</v>
      </c>
      <c r="C132" s="1316" t="s">
        <v>622</v>
      </c>
      <c r="D132" s="1317"/>
      <c r="I132" s="1300"/>
      <c r="J132" s="1287" t="s">
        <v>523</v>
      </c>
      <c r="K132" s="1304" t="s">
        <v>652</v>
      </c>
      <c r="L132" s="1300"/>
    </row>
    <row r="133" spans="1:12" s="1299" customFormat="1" ht="15.75">
      <c r="A133" s="1304"/>
      <c r="B133" s="1312" t="s">
        <v>85</v>
      </c>
      <c r="C133" s="1319" t="s">
        <v>653</v>
      </c>
      <c r="D133" s="1320"/>
      <c r="I133" s="1300"/>
      <c r="J133" s="1287" t="s">
        <v>524</v>
      </c>
      <c r="K133" s="1304" t="s">
        <v>652</v>
      </c>
      <c r="L133" s="1300"/>
    </row>
    <row r="134" spans="1:12" s="1299" customFormat="1" ht="15.75">
      <c r="A134" s="1304"/>
      <c r="B134" s="1312" t="s">
        <v>86</v>
      </c>
      <c r="C134" s="1319" t="s">
        <v>623</v>
      </c>
      <c r="D134" s="1320"/>
      <c r="I134" s="1300"/>
      <c r="J134" s="1287" t="s">
        <v>287</v>
      </c>
      <c r="K134" s="1304" t="s">
        <v>652</v>
      </c>
      <c r="L134" s="1300"/>
    </row>
    <row r="135" spans="1:12" s="1299" customFormat="1" ht="15.75">
      <c r="A135" s="1304"/>
      <c r="B135" s="1312" t="s">
        <v>87</v>
      </c>
      <c r="C135" s="1316" t="s">
        <v>668</v>
      </c>
      <c r="D135" s="1317"/>
      <c r="I135" s="1300"/>
      <c r="J135" s="1287" t="s">
        <v>919</v>
      </c>
      <c r="K135" s="1304" t="s">
        <v>652</v>
      </c>
      <c r="L135" s="1300"/>
    </row>
    <row r="136" spans="1:12" s="1299" customFormat="1" ht="15.75">
      <c r="A136" s="1304"/>
      <c r="B136" s="1312" t="s">
        <v>88</v>
      </c>
      <c r="C136" s="1316" t="s">
        <v>657</v>
      </c>
      <c r="D136" s="1317"/>
      <c r="I136" s="1300"/>
      <c r="J136" s="1287" t="s">
        <v>288</v>
      </c>
      <c r="K136" s="1304" t="s">
        <v>652</v>
      </c>
      <c r="L136" s="1300"/>
    </row>
    <row r="137" spans="1:12" s="1299" customFormat="1" ht="15.75">
      <c r="A137" s="1304"/>
      <c r="B137" s="1312" t="s">
        <v>89</v>
      </c>
      <c r="C137" s="1316" t="s">
        <v>278</v>
      </c>
      <c r="D137" s="1317"/>
      <c r="I137" s="1300"/>
      <c r="J137" s="1287" t="s">
        <v>920</v>
      </c>
      <c r="K137" s="1304" t="s">
        <v>652</v>
      </c>
      <c r="L137" s="1300"/>
    </row>
    <row r="138" spans="1:12" s="1299" customFormat="1" ht="15.75">
      <c r="A138" s="1304"/>
      <c r="B138" s="1312" t="s">
        <v>90</v>
      </c>
      <c r="C138" s="1316" t="s">
        <v>654</v>
      </c>
      <c r="D138" s="1317"/>
      <c r="I138" s="1300"/>
      <c r="J138" s="1287" t="s">
        <v>269</v>
      </c>
      <c r="K138" s="1304" t="s">
        <v>652</v>
      </c>
      <c r="L138" s="1300"/>
    </row>
    <row r="139" spans="1:12" s="1299" customFormat="1" ht="15.75">
      <c r="A139" s="1304"/>
      <c r="B139" s="1312" t="s">
        <v>90</v>
      </c>
      <c r="C139" s="1316" t="s">
        <v>666</v>
      </c>
      <c r="D139" s="1317"/>
      <c r="I139" s="1300"/>
      <c r="J139" s="1287" t="s">
        <v>270</v>
      </c>
      <c r="K139" s="1304" t="s">
        <v>652</v>
      </c>
      <c r="L139" s="1300"/>
    </row>
    <row r="140" spans="1:12" s="1299" customFormat="1" ht="15.75">
      <c r="A140" s="1304"/>
      <c r="B140" s="1312" t="s">
        <v>91</v>
      </c>
      <c r="C140" s="1316" t="s">
        <v>624</v>
      </c>
      <c r="D140" s="1317"/>
      <c r="I140" s="1300"/>
      <c r="J140" s="1287" t="s">
        <v>273</v>
      </c>
      <c r="K140" s="1304" t="s">
        <v>652</v>
      </c>
      <c r="L140" s="1300"/>
    </row>
    <row r="141" spans="1:12" s="1299" customFormat="1" ht="15.75">
      <c r="A141" s="1304"/>
      <c r="B141" s="1312" t="s">
        <v>92</v>
      </c>
      <c r="C141" s="1316" t="s">
        <v>518</v>
      </c>
      <c r="D141" s="1317"/>
      <c r="I141" s="1300"/>
      <c r="J141" s="1287" t="s">
        <v>274</v>
      </c>
      <c r="K141" s="1304" t="s">
        <v>652</v>
      </c>
      <c r="L141" s="1300"/>
    </row>
    <row r="142" spans="1:12" s="1299" customFormat="1" ht="15.75">
      <c r="A142" s="1304"/>
      <c r="B142" s="1312" t="s">
        <v>93</v>
      </c>
      <c r="C142" s="1316" t="s">
        <v>602</v>
      </c>
      <c r="D142" s="1317"/>
      <c r="I142" s="1300"/>
      <c r="J142" s="1287" t="s">
        <v>782</v>
      </c>
      <c r="K142" s="1304" t="s">
        <v>652</v>
      </c>
      <c r="L142" s="1300"/>
    </row>
    <row r="143" spans="1:12" s="1299" customFormat="1" ht="15.75">
      <c r="A143" s="1304"/>
      <c r="B143" s="1312" t="s">
        <v>94</v>
      </c>
      <c r="C143" s="1316" t="s">
        <v>667</v>
      </c>
      <c r="D143" s="1317"/>
      <c r="I143" s="1300"/>
      <c r="J143" s="1287" t="s">
        <v>783</v>
      </c>
      <c r="K143" s="1304" t="s">
        <v>652</v>
      </c>
      <c r="L143" s="1300"/>
    </row>
    <row r="144" spans="1:12" s="1299" customFormat="1" ht="15.75">
      <c r="A144" s="1304"/>
      <c r="B144" s="1312" t="s">
        <v>95</v>
      </c>
      <c r="C144" s="1316" t="s">
        <v>519</v>
      </c>
      <c r="D144" s="1317"/>
      <c r="I144" s="1300"/>
      <c r="J144" s="1287" t="s">
        <v>784</v>
      </c>
      <c r="K144" s="1304" t="s">
        <v>652</v>
      </c>
      <c r="L144" s="1300"/>
    </row>
    <row r="145" spans="1:12" s="1299" customFormat="1" ht="15.75">
      <c r="A145" s="1304"/>
      <c r="B145" s="1312" t="s">
        <v>96</v>
      </c>
      <c r="C145" s="1316" t="s">
        <v>625</v>
      </c>
      <c r="D145" s="1317"/>
      <c r="I145" s="1300"/>
      <c r="J145" s="1287" t="s">
        <v>785</v>
      </c>
      <c r="K145" s="1304" t="s">
        <v>652</v>
      </c>
      <c r="L145" s="1300"/>
    </row>
    <row r="146" spans="1:12" s="1299" customFormat="1" ht="15.75">
      <c r="A146" s="1304"/>
      <c r="B146" s="1312" t="s">
        <v>97</v>
      </c>
      <c r="C146" s="1316" t="s">
        <v>485</v>
      </c>
      <c r="D146" s="1317"/>
      <c r="I146" s="1300"/>
      <c r="J146" s="1287" t="s">
        <v>786</v>
      </c>
      <c r="K146" s="1304" t="s">
        <v>652</v>
      </c>
      <c r="L146" s="1300"/>
    </row>
    <row r="147" spans="1:12" s="1299" customFormat="1" ht="15.75">
      <c r="A147" s="1304"/>
      <c r="B147" s="1312" t="s">
        <v>98</v>
      </c>
      <c r="C147" s="1316" t="s">
        <v>658</v>
      </c>
      <c r="D147" s="1317"/>
      <c r="I147" s="1300"/>
      <c r="J147" s="1287" t="s">
        <v>787</v>
      </c>
      <c r="K147" s="1304" t="s">
        <v>652</v>
      </c>
      <c r="L147" s="1300"/>
    </row>
    <row r="148" spans="1:12" s="1299" customFormat="1" ht="15.75">
      <c r="A148" s="1304"/>
      <c r="B148" s="1312" t="s">
        <v>99</v>
      </c>
      <c r="C148" s="1325" t="s">
        <v>21</v>
      </c>
      <c r="D148" s="1317"/>
      <c r="I148" s="1300"/>
      <c r="J148" s="1287" t="s">
        <v>788</v>
      </c>
      <c r="K148" s="1304" t="s">
        <v>652</v>
      </c>
      <c r="L148" s="1300"/>
    </row>
    <row r="149" spans="1:12" s="1299" customFormat="1" ht="15.75">
      <c r="A149" s="1304"/>
      <c r="B149" s="1318" t="s">
        <v>99</v>
      </c>
      <c r="C149" s="1319" t="s">
        <v>175</v>
      </c>
      <c r="D149" s="1320"/>
      <c r="E149" s="1321"/>
      <c r="I149" s="1300"/>
      <c r="J149" s="1287" t="s">
        <v>789</v>
      </c>
      <c r="K149" s="1304" t="s">
        <v>652</v>
      </c>
      <c r="L149" s="1300"/>
    </row>
    <row r="150" spans="1:12" s="1299" customFormat="1" ht="15.75">
      <c r="A150" s="1304"/>
      <c r="B150" s="1318" t="s">
        <v>100</v>
      </c>
      <c r="C150" s="1319" t="s">
        <v>20</v>
      </c>
      <c r="D150" s="1320"/>
      <c r="E150" s="1321"/>
      <c r="I150" s="1300"/>
      <c r="J150" s="1287" t="s">
        <v>790</v>
      </c>
      <c r="K150" s="1304" t="s">
        <v>652</v>
      </c>
      <c r="L150" s="1300"/>
    </row>
    <row r="151" spans="1:12" s="1299" customFormat="1" ht="15.75">
      <c r="A151" s="1304"/>
      <c r="B151" s="1304"/>
      <c r="C151" s="1308"/>
      <c r="I151" s="1300"/>
      <c r="J151" s="1287"/>
      <c r="K151" s="1304"/>
      <c r="L151" s="1300"/>
    </row>
    <row r="152" spans="1:12" s="1299" customFormat="1" ht="15.75">
      <c r="A152" s="1304" t="s">
        <v>817</v>
      </c>
      <c r="C152" s="1308"/>
      <c r="I152" s="1300"/>
      <c r="J152" s="1287"/>
      <c r="K152" s="1304"/>
      <c r="L152" s="1300"/>
    </row>
    <row r="153" spans="1:12" s="1299" customFormat="1" ht="15.75">
      <c r="A153" s="1304"/>
      <c r="B153" s="1304" t="s">
        <v>386</v>
      </c>
      <c r="C153" s="1308"/>
      <c r="I153" s="1300"/>
      <c r="J153" s="1287"/>
      <c r="K153" s="1304"/>
      <c r="L153" s="1300"/>
    </row>
    <row r="154" spans="1:12" s="1299" customFormat="1" ht="15.75">
      <c r="A154" s="1304"/>
      <c r="B154" s="1304" t="s">
        <v>818</v>
      </c>
      <c r="C154" s="1308"/>
      <c r="I154" s="1300"/>
      <c r="J154" s="1287" t="s">
        <v>791</v>
      </c>
      <c r="K154" s="1304" t="s">
        <v>652</v>
      </c>
      <c r="L154" s="1300"/>
    </row>
    <row r="155" spans="1:12" s="1299" customFormat="1" ht="13.5" customHeight="1">
      <c r="A155" s="1304"/>
      <c r="B155" s="1304"/>
      <c r="C155" s="1326"/>
      <c r="I155" s="1300"/>
      <c r="J155" s="1287"/>
      <c r="K155" s="1304"/>
      <c r="L155" s="1300"/>
    </row>
    <row r="156" spans="1:12" s="1299" customFormat="1" ht="15.75" hidden="1">
      <c r="A156" s="1304"/>
      <c r="B156" s="1304"/>
      <c r="C156" s="1326"/>
      <c r="I156" s="1300"/>
      <c r="J156" s="1287"/>
      <c r="K156" s="1304"/>
      <c r="L156" s="1300"/>
    </row>
    <row r="157" spans="1:12" s="1299" customFormat="1" ht="1.5" customHeight="1" hidden="1">
      <c r="A157" s="1304"/>
      <c r="B157" s="1304"/>
      <c r="C157" s="1326"/>
      <c r="I157" s="1300"/>
      <c r="J157" s="1287"/>
      <c r="K157" s="1304"/>
      <c r="L157" s="1300"/>
    </row>
    <row r="158" spans="1:12" s="1299" customFormat="1" ht="15.75" hidden="1">
      <c r="A158" s="1304"/>
      <c r="B158" s="1304"/>
      <c r="C158" s="1308"/>
      <c r="I158" s="1300"/>
      <c r="J158" s="1287"/>
      <c r="K158" s="1304"/>
      <c r="L158" s="1300"/>
    </row>
    <row r="159" spans="1:12" s="1299" customFormat="1" ht="15.75">
      <c r="A159" s="1304" t="s">
        <v>819</v>
      </c>
      <c r="C159" s="1308"/>
      <c r="I159" s="1300"/>
      <c r="J159" s="1287"/>
      <c r="K159" s="1304"/>
      <c r="L159" s="1300"/>
    </row>
    <row r="160" spans="1:12" s="1299" customFormat="1" ht="15.75">
      <c r="A160" s="1304"/>
      <c r="B160" s="1304" t="s">
        <v>346</v>
      </c>
      <c r="C160" s="1308"/>
      <c r="I160" s="1300"/>
      <c r="J160" s="1287"/>
      <c r="K160" s="1304"/>
      <c r="L160" s="1300"/>
    </row>
    <row r="161" spans="1:12" s="1299" customFormat="1" ht="15.75">
      <c r="A161" s="1304"/>
      <c r="B161" s="1327" t="s">
        <v>639</v>
      </c>
      <c r="C161" s="1308"/>
      <c r="I161" s="1300"/>
      <c r="J161" s="1287" t="s">
        <v>792</v>
      </c>
      <c r="K161" s="1304" t="s">
        <v>652</v>
      </c>
      <c r="L161" s="1300"/>
    </row>
    <row r="162" spans="1:12" s="1299" customFormat="1" ht="15.75">
      <c r="A162" s="1304"/>
      <c r="B162" s="1304"/>
      <c r="C162" s="1308"/>
      <c r="I162" s="1300"/>
      <c r="J162" s="1287"/>
      <c r="K162" s="1304"/>
      <c r="L162" s="1300"/>
    </row>
    <row r="163" spans="1:12" s="1299" customFormat="1" ht="9.75" customHeight="1" hidden="1">
      <c r="A163" s="1304"/>
      <c r="B163" s="1304"/>
      <c r="C163" s="1308"/>
      <c r="I163" s="1300"/>
      <c r="J163" s="1287"/>
      <c r="K163" s="1304"/>
      <c r="L163" s="1300"/>
    </row>
    <row r="164" spans="1:12" s="1299" customFormat="1" ht="15.75">
      <c r="A164" s="1304" t="s">
        <v>843</v>
      </c>
      <c r="C164" s="1308"/>
      <c r="I164" s="1300"/>
      <c r="J164" s="1287"/>
      <c r="K164" s="1304"/>
      <c r="L164" s="1300"/>
    </row>
    <row r="165" spans="1:12" s="1299" customFormat="1" ht="15.75">
      <c r="A165" s="1304"/>
      <c r="B165" s="1304" t="s">
        <v>821</v>
      </c>
      <c r="C165" s="1308"/>
      <c r="I165" s="1300"/>
      <c r="J165" s="1287"/>
      <c r="K165" s="1304"/>
      <c r="L165" s="1300"/>
    </row>
    <row r="166" spans="1:12" s="1299" customFormat="1" ht="15.75">
      <c r="A166" s="1304"/>
      <c r="B166" s="1304" t="s">
        <v>604</v>
      </c>
      <c r="C166" s="1308"/>
      <c r="I166" s="1300"/>
      <c r="J166" s="1287" t="s">
        <v>793</v>
      </c>
      <c r="K166" s="1304" t="s">
        <v>652</v>
      </c>
      <c r="L166" s="1300"/>
    </row>
    <row r="167" spans="1:12" s="1299" customFormat="1" ht="15.75">
      <c r="A167" s="1304"/>
      <c r="C167" s="1308"/>
      <c r="I167" s="1300"/>
      <c r="J167" s="1287"/>
      <c r="K167" s="1304"/>
      <c r="L167" s="1300"/>
    </row>
    <row r="168" spans="1:12" s="1299" customFormat="1" ht="15.75">
      <c r="A168" s="1304" t="s">
        <v>820</v>
      </c>
      <c r="C168" s="1308"/>
      <c r="I168" s="1300"/>
      <c r="J168" s="1287"/>
      <c r="K168" s="1304"/>
      <c r="L168" s="1300"/>
    </row>
    <row r="169" spans="1:12" s="1299" customFormat="1" ht="15.75">
      <c r="A169" s="1304"/>
      <c r="B169" s="1304" t="s">
        <v>878</v>
      </c>
      <c r="C169" s="1308"/>
      <c r="I169" s="1300"/>
      <c r="J169" s="1287"/>
      <c r="K169" s="1304"/>
      <c r="L169" s="1300"/>
    </row>
    <row r="170" spans="1:13" s="1299" customFormat="1" ht="15.75">
      <c r="A170" s="1304"/>
      <c r="B170" s="1304" t="s">
        <v>604</v>
      </c>
      <c r="C170" s="1308"/>
      <c r="I170" s="1300"/>
      <c r="J170" s="1287" t="s">
        <v>921</v>
      </c>
      <c r="K170" s="1304" t="s">
        <v>652</v>
      </c>
      <c r="L170" s="1300"/>
      <c r="M170" s="1328"/>
    </row>
    <row r="171" spans="1:12" s="1299" customFormat="1" ht="15.75">
      <c r="A171" s="1304"/>
      <c r="B171" s="1304"/>
      <c r="C171" s="1326"/>
      <c r="I171" s="1300"/>
      <c r="J171" s="1287"/>
      <c r="K171" s="1304"/>
      <c r="L171" s="1300"/>
    </row>
    <row r="172" spans="1:12" s="1299" customFormat="1" ht="2.25" customHeight="1" hidden="1">
      <c r="A172" s="1304"/>
      <c r="C172" s="1308"/>
      <c r="I172" s="1300"/>
      <c r="J172" s="1287"/>
      <c r="K172" s="1304"/>
      <c r="L172" s="1300"/>
    </row>
    <row r="173" spans="1:12" s="1299" customFormat="1" ht="15.75">
      <c r="A173" s="1304" t="s">
        <v>822</v>
      </c>
      <c r="C173" s="1308"/>
      <c r="I173" s="1300"/>
      <c r="J173" s="1287"/>
      <c r="K173" s="1304"/>
      <c r="L173" s="1300"/>
    </row>
    <row r="174" spans="1:12" s="1299" customFormat="1" ht="15.75">
      <c r="A174" s="1304"/>
      <c r="B174" s="1304" t="s">
        <v>824</v>
      </c>
      <c r="C174" s="1308"/>
      <c r="I174" s="1300"/>
      <c r="J174" s="1287"/>
      <c r="K174" s="1304"/>
      <c r="L174" s="1300"/>
    </row>
    <row r="175" spans="1:12" s="1299" customFormat="1" ht="15.75">
      <c r="A175" s="1304"/>
      <c r="B175" s="1304" t="s">
        <v>605</v>
      </c>
      <c r="C175" s="1308"/>
      <c r="I175" s="1300"/>
      <c r="J175" s="1287" t="s">
        <v>798</v>
      </c>
      <c r="K175" s="1304" t="s">
        <v>652</v>
      </c>
      <c r="L175" s="1300"/>
    </row>
    <row r="176" spans="1:12" s="1299" customFormat="1" ht="12" customHeight="1">
      <c r="A176" s="1304"/>
      <c r="B176" s="1304"/>
      <c r="C176" s="1308"/>
      <c r="I176" s="1300"/>
      <c r="J176" s="1287"/>
      <c r="K176" s="1304"/>
      <c r="L176" s="1300"/>
    </row>
    <row r="177" spans="1:12" s="1299" customFormat="1" ht="15.75">
      <c r="A177" s="1304" t="s">
        <v>823</v>
      </c>
      <c r="C177" s="1308"/>
      <c r="I177" s="1300"/>
      <c r="J177" s="1287"/>
      <c r="K177" s="1304"/>
      <c r="L177" s="1300"/>
    </row>
    <row r="178" spans="1:12" s="1299" customFormat="1" ht="15.75">
      <c r="A178" s="1304"/>
      <c r="B178" s="1304" t="s">
        <v>101</v>
      </c>
      <c r="C178" s="1308"/>
      <c r="I178" s="1300"/>
      <c r="J178" s="1287"/>
      <c r="K178" s="1304"/>
      <c r="L178" s="1300"/>
    </row>
    <row r="179" spans="1:12" s="1299" customFormat="1" ht="15.75">
      <c r="A179" s="1304"/>
      <c r="B179" s="1304" t="s">
        <v>102</v>
      </c>
      <c r="C179" s="1308"/>
      <c r="I179" s="1300"/>
      <c r="J179" s="1287" t="s">
        <v>799</v>
      </c>
      <c r="K179" s="1304" t="s">
        <v>652</v>
      </c>
      <c r="L179" s="1300"/>
    </row>
    <row r="180" spans="1:12" s="1299" customFormat="1" ht="8.25" customHeight="1">
      <c r="A180" s="1304"/>
      <c r="B180" s="1304"/>
      <c r="C180" s="1308"/>
      <c r="I180" s="1300"/>
      <c r="J180" s="1287"/>
      <c r="K180" s="1304"/>
      <c r="L180" s="1300"/>
    </row>
    <row r="181" spans="1:12" s="1299" customFormat="1" ht="15.75">
      <c r="A181" s="1304" t="s">
        <v>825</v>
      </c>
      <c r="C181" s="1308"/>
      <c r="I181" s="1300"/>
      <c r="J181" s="1287"/>
      <c r="K181" s="1304"/>
      <c r="L181" s="1300"/>
    </row>
    <row r="182" spans="1:12" s="1299" customFormat="1" ht="15.75">
      <c r="A182" s="1304"/>
      <c r="B182" s="1304" t="s">
        <v>560</v>
      </c>
      <c r="C182" s="1308"/>
      <c r="I182" s="1300"/>
      <c r="J182" s="1287"/>
      <c r="K182" s="1304"/>
      <c r="L182" s="1300"/>
    </row>
    <row r="183" spans="1:12" s="1299" customFormat="1" ht="15.75">
      <c r="A183" s="1304"/>
      <c r="B183" s="1329" t="s">
        <v>553</v>
      </c>
      <c r="C183" s="1308"/>
      <c r="I183" s="1300"/>
      <c r="J183" s="1287" t="s">
        <v>800</v>
      </c>
      <c r="K183" s="1304" t="s">
        <v>652</v>
      </c>
      <c r="L183" s="1300"/>
    </row>
    <row r="184" spans="1:12" s="1299" customFormat="1" ht="15.75">
      <c r="A184" s="1304"/>
      <c r="C184" s="1308"/>
      <c r="I184" s="1300"/>
      <c r="J184" s="1287"/>
      <c r="K184" s="1304"/>
      <c r="L184" s="1300"/>
    </row>
    <row r="185" spans="1:12" s="1299" customFormat="1" ht="15.75">
      <c r="A185" s="1304" t="s">
        <v>826</v>
      </c>
      <c r="C185" s="1308"/>
      <c r="I185" s="1300"/>
      <c r="J185" s="1287"/>
      <c r="K185" s="1304"/>
      <c r="L185" s="1300"/>
    </row>
    <row r="186" spans="1:12" s="1299" customFormat="1" ht="15.75">
      <c r="A186" s="1304"/>
      <c r="B186" s="1304" t="s">
        <v>874</v>
      </c>
      <c r="C186" s="1308"/>
      <c r="I186" s="1300"/>
      <c r="J186" s="1287"/>
      <c r="K186" s="1304"/>
      <c r="L186" s="1300"/>
    </row>
    <row r="187" spans="1:12" s="1299" customFormat="1" ht="15.75">
      <c r="A187" s="1304"/>
      <c r="B187" s="1329" t="s">
        <v>553</v>
      </c>
      <c r="C187" s="1308"/>
      <c r="I187" s="1300"/>
      <c r="J187" s="1287" t="s">
        <v>801</v>
      </c>
      <c r="K187" s="1304" t="s">
        <v>652</v>
      </c>
      <c r="L187" s="1300"/>
    </row>
    <row r="188" spans="1:12" s="1299" customFormat="1" ht="15.75">
      <c r="A188" s="1304"/>
      <c r="C188" s="1308"/>
      <c r="I188" s="1300"/>
      <c r="J188" s="1287"/>
      <c r="K188" s="1304"/>
      <c r="L188" s="1300"/>
    </row>
    <row r="189" spans="1:12" s="1299" customFormat="1" ht="15.75">
      <c r="A189" s="1304" t="s">
        <v>827</v>
      </c>
      <c r="C189" s="1308"/>
      <c r="I189" s="1300"/>
      <c r="J189" s="1287"/>
      <c r="K189" s="1304"/>
      <c r="L189" s="1300"/>
    </row>
    <row r="190" spans="1:12" s="1299" customFormat="1" ht="15.75">
      <c r="A190" s="1304"/>
      <c r="B190" s="1304" t="s">
        <v>844</v>
      </c>
      <c r="C190" s="1308"/>
      <c r="I190" s="1300"/>
      <c r="J190" s="1287" t="s">
        <v>922</v>
      </c>
      <c r="K190" s="1304" t="s">
        <v>652</v>
      </c>
      <c r="L190" s="1300"/>
    </row>
    <row r="191" spans="1:12" s="1299" customFormat="1" ht="9.75" customHeight="1">
      <c r="A191" s="1304"/>
      <c r="C191" s="1308"/>
      <c r="I191" s="1300"/>
      <c r="J191" s="1287"/>
      <c r="K191" s="1304"/>
      <c r="L191" s="1300"/>
    </row>
    <row r="192" spans="1:12" s="1299" customFormat="1" ht="15.75">
      <c r="A192" s="1304" t="s">
        <v>829</v>
      </c>
      <c r="C192" s="1308"/>
      <c r="I192" s="1300"/>
      <c r="J192" s="1287"/>
      <c r="K192" s="1304"/>
      <c r="L192" s="1300"/>
    </row>
    <row r="193" spans="1:12" s="1299" customFormat="1" ht="15.75">
      <c r="A193" s="1304"/>
      <c r="B193" s="1304" t="s">
        <v>828</v>
      </c>
      <c r="C193" s="1308"/>
      <c r="I193" s="1300"/>
      <c r="J193" s="1287"/>
      <c r="K193" s="1304"/>
      <c r="L193" s="1300"/>
    </row>
    <row r="194" spans="1:12" s="1299" customFormat="1" ht="15.75">
      <c r="A194" s="1304"/>
      <c r="B194" s="1304" t="s">
        <v>389</v>
      </c>
      <c r="C194" s="1308"/>
      <c r="I194" s="1300"/>
      <c r="J194" s="1287" t="s">
        <v>804</v>
      </c>
      <c r="K194" s="1304" t="s">
        <v>652</v>
      </c>
      <c r="L194" s="1300"/>
    </row>
    <row r="195" spans="1:12" s="1299" customFormat="1" ht="4.5" customHeight="1">
      <c r="A195" s="1304"/>
      <c r="C195" s="1308"/>
      <c r="I195" s="1300"/>
      <c r="J195" s="1287"/>
      <c r="K195" s="1304"/>
      <c r="L195" s="1300"/>
    </row>
    <row r="196" spans="1:12" s="1299" customFormat="1" ht="15.75">
      <c r="A196" s="1304" t="s">
        <v>832</v>
      </c>
      <c r="C196" s="1308"/>
      <c r="I196" s="1300"/>
      <c r="J196" s="1287"/>
      <c r="K196" s="1304"/>
      <c r="L196" s="1300"/>
    </row>
    <row r="197" spans="1:12" s="1299" customFormat="1" ht="15.75">
      <c r="A197" s="1304"/>
      <c r="B197" s="1304" t="s">
        <v>830</v>
      </c>
      <c r="C197" s="1308"/>
      <c r="I197" s="1300"/>
      <c r="J197" s="1287"/>
      <c r="K197" s="1304"/>
      <c r="L197" s="1300"/>
    </row>
    <row r="198" spans="1:12" s="1299" customFormat="1" ht="15.75">
      <c r="A198" s="1304"/>
      <c r="B198" s="1304" t="s">
        <v>916</v>
      </c>
      <c r="C198" s="1308"/>
      <c r="I198" s="1300"/>
      <c r="J198" s="1287" t="s">
        <v>923</v>
      </c>
      <c r="K198" s="1304" t="s">
        <v>652</v>
      </c>
      <c r="L198" s="1300"/>
    </row>
    <row r="199" spans="1:12" s="1299" customFormat="1" ht="15.75" hidden="1">
      <c r="A199" s="1304" t="s">
        <v>831</v>
      </c>
      <c r="C199" s="1308"/>
      <c r="I199" s="1300"/>
      <c r="J199" s="1287"/>
      <c r="K199" s="1304"/>
      <c r="L199" s="1300"/>
    </row>
    <row r="200" spans="1:12" s="1299" customFormat="1" ht="15.75" hidden="1">
      <c r="A200" s="1304"/>
      <c r="B200" s="1304" t="s">
        <v>347</v>
      </c>
      <c r="C200" s="1308"/>
      <c r="I200" s="1300"/>
      <c r="J200" s="1287"/>
      <c r="K200" s="1304"/>
      <c r="L200" s="1300"/>
    </row>
    <row r="201" spans="1:12" s="1299" customFormat="1" ht="15.75" hidden="1">
      <c r="A201" s="1304"/>
      <c r="B201" s="1304" t="s">
        <v>350</v>
      </c>
      <c r="C201" s="1308"/>
      <c r="I201" s="1300"/>
      <c r="J201" s="1287"/>
      <c r="K201" s="1304" t="s">
        <v>652</v>
      </c>
      <c r="L201" s="1300"/>
    </row>
    <row r="202" spans="1:12" s="1299" customFormat="1" ht="3" customHeight="1" hidden="1">
      <c r="A202" s="1304"/>
      <c r="B202" s="1304"/>
      <c r="C202" s="1308"/>
      <c r="I202" s="1300"/>
      <c r="J202" s="1287"/>
      <c r="K202" s="1304"/>
      <c r="L202" s="1300"/>
    </row>
    <row r="203" spans="1:12" s="1299" customFormat="1" ht="6.75" customHeight="1">
      <c r="A203" s="1304"/>
      <c r="B203" s="1304"/>
      <c r="C203" s="1308"/>
      <c r="I203" s="1300"/>
      <c r="J203" s="1287"/>
      <c r="K203" s="1304"/>
      <c r="L203" s="1300"/>
    </row>
    <row r="204" spans="1:12" s="1299" customFormat="1" ht="2.25" customHeight="1">
      <c r="A204" s="1304"/>
      <c r="C204" s="1308"/>
      <c r="I204" s="1300"/>
      <c r="J204" s="1287"/>
      <c r="K204" s="1304"/>
      <c r="L204" s="1300"/>
    </row>
    <row r="205" spans="1:12" s="1299" customFormat="1" ht="15.75">
      <c r="A205" s="1304" t="s">
        <v>845</v>
      </c>
      <c r="C205" s="1308"/>
      <c r="I205" s="1300"/>
      <c r="J205" s="1287"/>
      <c r="K205" s="1304"/>
      <c r="L205" s="1300"/>
    </row>
    <row r="206" spans="1:12" s="1299" customFormat="1" ht="15.75">
      <c r="A206" s="1304"/>
      <c r="B206" s="1304" t="s">
        <v>349</v>
      </c>
      <c r="C206" s="1308"/>
      <c r="I206" s="1300"/>
      <c r="J206" s="1287"/>
      <c r="K206" s="1304"/>
      <c r="L206" s="1300"/>
    </row>
    <row r="207" spans="1:12" s="1299" customFormat="1" ht="15.75">
      <c r="A207" s="1304"/>
      <c r="B207" s="1304" t="s">
        <v>810</v>
      </c>
      <c r="C207" s="1308"/>
      <c r="I207" s="1300"/>
      <c r="J207" s="1287"/>
      <c r="K207" s="1304"/>
      <c r="L207" s="1300"/>
    </row>
    <row r="208" spans="1:12" s="1299" customFormat="1" ht="15.75">
      <c r="A208" s="1304"/>
      <c r="B208" s="1304" t="s">
        <v>833</v>
      </c>
      <c r="C208" s="1308"/>
      <c r="I208" s="1300"/>
      <c r="J208" s="1287" t="s">
        <v>924</v>
      </c>
      <c r="K208" s="1304" t="s">
        <v>652</v>
      </c>
      <c r="L208" s="1300"/>
    </row>
    <row r="209" spans="1:12" s="1299" customFormat="1" ht="12" customHeight="1">
      <c r="A209" s="1304"/>
      <c r="B209" s="1304"/>
      <c r="C209" s="1308"/>
      <c r="I209" s="1300"/>
      <c r="J209" s="1287"/>
      <c r="K209" s="1304"/>
      <c r="L209" s="1300"/>
    </row>
    <row r="210" spans="1:12" s="1299" customFormat="1" ht="15.75">
      <c r="A210" s="1304" t="s">
        <v>834</v>
      </c>
      <c r="B210" s="1304"/>
      <c r="C210" s="1308"/>
      <c r="I210" s="1300"/>
      <c r="J210" s="1287"/>
      <c r="K210" s="1304"/>
      <c r="L210" s="1300"/>
    </row>
    <row r="211" spans="1:12" s="1299" customFormat="1" ht="15.75">
      <c r="A211" s="1304"/>
      <c r="B211" s="1304" t="s">
        <v>847</v>
      </c>
      <c r="C211" s="1308"/>
      <c r="I211" s="1300"/>
      <c r="J211" s="1287" t="s">
        <v>925</v>
      </c>
      <c r="K211" s="1304" t="s">
        <v>652</v>
      </c>
      <c r="L211" s="1300"/>
    </row>
    <row r="212" spans="1:12" s="1299" customFormat="1" ht="12" customHeight="1">
      <c r="A212" s="1304"/>
      <c r="B212" s="1304"/>
      <c r="C212" s="1308"/>
      <c r="I212" s="1300"/>
      <c r="J212" s="1287"/>
      <c r="K212" s="1304"/>
      <c r="L212" s="1300"/>
    </row>
    <row r="213" spans="1:12" s="1299" customFormat="1" ht="15.75">
      <c r="A213" s="1304" t="s">
        <v>835</v>
      </c>
      <c r="B213" s="1304"/>
      <c r="C213" s="1308"/>
      <c r="I213" s="1300"/>
      <c r="J213" s="1287"/>
      <c r="K213" s="1304"/>
      <c r="L213" s="1300"/>
    </row>
    <row r="214" spans="1:12" s="1299" customFormat="1" ht="15.75">
      <c r="A214" s="1304"/>
      <c r="B214" s="1304" t="s">
        <v>846</v>
      </c>
      <c r="C214" s="1308"/>
      <c r="I214" s="1300"/>
      <c r="J214" s="1287" t="s">
        <v>926</v>
      </c>
      <c r="K214" s="1304" t="s">
        <v>652</v>
      </c>
      <c r="L214" s="1300"/>
    </row>
    <row r="215" spans="1:12" s="1299" customFormat="1" ht="17.25" customHeight="1">
      <c r="A215" s="1304"/>
      <c r="B215" s="1304"/>
      <c r="C215" s="1308"/>
      <c r="I215" s="1300"/>
      <c r="J215" s="1287"/>
      <c r="K215" s="1304"/>
      <c r="L215" s="1300"/>
    </row>
    <row r="216" spans="1:12" s="1299" customFormat="1" ht="15.75">
      <c r="A216" s="1304" t="s">
        <v>836</v>
      </c>
      <c r="B216" s="1304"/>
      <c r="C216" s="1308"/>
      <c r="I216" s="1300"/>
      <c r="J216" s="1287"/>
      <c r="K216" s="1304"/>
      <c r="L216" s="1300"/>
    </row>
    <row r="217" spans="1:12" s="1299" customFormat="1" ht="15.75">
      <c r="A217" s="1304"/>
      <c r="B217" s="1304" t="s">
        <v>103</v>
      </c>
      <c r="C217" s="1308"/>
      <c r="I217" s="1300"/>
      <c r="J217" s="1287" t="s">
        <v>927</v>
      </c>
      <c r="K217" s="1304" t="s">
        <v>652</v>
      </c>
      <c r="L217" s="1300"/>
    </row>
    <row r="218" spans="1:12" s="1299" customFormat="1" ht="15.75">
      <c r="A218" s="1304"/>
      <c r="B218" s="1304"/>
      <c r="C218" s="1308"/>
      <c r="I218" s="1300"/>
      <c r="J218" s="1287"/>
      <c r="K218" s="1304"/>
      <c r="L218" s="1300"/>
    </row>
    <row r="219" spans="1:12" s="1299" customFormat="1" ht="15.75">
      <c r="A219" s="1304" t="s">
        <v>837</v>
      </c>
      <c r="C219" s="1308"/>
      <c r="I219" s="1300"/>
      <c r="J219" s="1287"/>
      <c r="K219" s="1304"/>
      <c r="L219" s="1300"/>
    </row>
    <row r="220" spans="1:12" s="1299" customFormat="1" ht="15.75">
      <c r="A220" s="1304"/>
      <c r="B220" s="1302" t="s">
        <v>881</v>
      </c>
      <c r="C220" s="1308"/>
      <c r="I220" s="1300"/>
      <c r="J220" s="1287"/>
      <c r="K220" s="1304"/>
      <c r="L220" s="1300"/>
    </row>
    <row r="221" spans="1:12" s="1299" customFormat="1" ht="15.75">
      <c r="A221" s="1304"/>
      <c r="B221" s="1329" t="s">
        <v>880</v>
      </c>
      <c r="C221" s="1308"/>
      <c r="I221" s="1300"/>
      <c r="J221" s="1287" t="s">
        <v>928</v>
      </c>
      <c r="K221" s="1304" t="s">
        <v>652</v>
      </c>
      <c r="L221" s="1300"/>
    </row>
    <row r="222" spans="1:12" s="1299" customFormat="1" ht="15.75">
      <c r="A222" s="1304"/>
      <c r="C222" s="1308"/>
      <c r="I222" s="1300"/>
      <c r="J222" s="1287"/>
      <c r="K222" s="1304"/>
      <c r="L222" s="1300"/>
    </row>
    <row r="223" spans="1:12" s="1299" customFormat="1" ht="15.75">
      <c r="A223" s="1304" t="s">
        <v>838</v>
      </c>
      <c r="C223" s="1308"/>
      <c r="I223" s="1300"/>
      <c r="J223" s="1287"/>
      <c r="K223" s="1304"/>
      <c r="L223" s="1300"/>
    </row>
    <row r="224" spans="1:12" s="1299" customFormat="1" ht="15.75">
      <c r="A224" s="1304"/>
      <c r="B224" s="1330" t="s">
        <v>902</v>
      </c>
      <c r="C224" s="1308"/>
      <c r="I224" s="1300"/>
      <c r="J224" s="1287"/>
      <c r="K224" s="1304"/>
      <c r="L224" s="1300"/>
    </row>
    <row r="225" spans="1:12" s="1299" customFormat="1" ht="15.75">
      <c r="A225" s="1304"/>
      <c r="B225" s="1304" t="s">
        <v>882</v>
      </c>
      <c r="C225" s="1308"/>
      <c r="I225" s="1300"/>
      <c r="J225" s="1287" t="s">
        <v>929</v>
      </c>
      <c r="K225" s="1304" t="s">
        <v>652</v>
      </c>
      <c r="L225" s="1300"/>
    </row>
    <row r="226" spans="1:12" s="1299" customFormat="1" ht="15.75">
      <c r="A226" s="1304"/>
      <c r="B226" s="1329"/>
      <c r="C226" s="1308"/>
      <c r="I226" s="1300"/>
      <c r="J226" s="1287"/>
      <c r="K226" s="1304"/>
      <c r="L226" s="1300"/>
    </row>
    <row r="227" spans="1:12" s="1299" customFormat="1" ht="15.75">
      <c r="A227" s="1304" t="s">
        <v>839</v>
      </c>
      <c r="B227" s="1304"/>
      <c r="C227" s="1308"/>
      <c r="I227" s="1300"/>
      <c r="J227" s="1287"/>
      <c r="K227" s="1304"/>
      <c r="L227" s="1300"/>
    </row>
    <row r="228" spans="1:12" s="1299" customFormat="1" ht="15.75">
      <c r="A228" s="1304"/>
      <c r="B228" s="1330" t="s">
        <v>883</v>
      </c>
      <c r="C228" s="1308"/>
      <c r="I228" s="1300"/>
      <c r="J228" s="1287"/>
      <c r="K228" s="1304"/>
      <c r="L228" s="1300"/>
    </row>
    <row r="229" spans="1:12" s="1299" customFormat="1" ht="15.75">
      <c r="A229" s="1304"/>
      <c r="B229" s="1304" t="s">
        <v>884</v>
      </c>
      <c r="C229" s="1308"/>
      <c r="I229" s="1300"/>
      <c r="J229" s="1287" t="s">
        <v>931</v>
      </c>
      <c r="K229" s="1304" t="s">
        <v>652</v>
      </c>
      <c r="L229" s="1300"/>
    </row>
    <row r="230" spans="1:12" s="1299" customFormat="1" ht="6.75" customHeight="1">
      <c r="A230" s="1304"/>
      <c r="B230" s="1304"/>
      <c r="C230" s="1308"/>
      <c r="I230" s="1300"/>
      <c r="J230" s="1287"/>
      <c r="K230" s="1304"/>
      <c r="L230" s="1300"/>
    </row>
    <row r="231" spans="1:12" s="1299" customFormat="1" ht="15.75">
      <c r="A231" s="1304" t="s">
        <v>840</v>
      </c>
      <c r="B231" s="1304"/>
      <c r="C231" s="1308"/>
      <c r="I231" s="1300"/>
      <c r="J231" s="1287"/>
      <c r="K231" s="1304"/>
      <c r="L231" s="1300"/>
    </row>
    <row r="232" spans="1:12" s="1299" customFormat="1" ht="15.75">
      <c r="A232" s="1304"/>
      <c r="B232" s="1304" t="s">
        <v>124</v>
      </c>
      <c r="C232" s="1308"/>
      <c r="I232" s="1300"/>
      <c r="J232" s="1287" t="s">
        <v>932</v>
      </c>
      <c r="K232" s="1304" t="s">
        <v>652</v>
      </c>
      <c r="L232" s="1300"/>
    </row>
    <row r="233" spans="1:12" s="1299" customFormat="1" ht="15.75">
      <c r="A233" s="1304"/>
      <c r="B233" s="1304" t="s">
        <v>903</v>
      </c>
      <c r="C233" s="1308"/>
      <c r="I233" s="1300"/>
      <c r="J233" s="1287"/>
      <c r="K233" s="1304"/>
      <c r="L233" s="1300"/>
    </row>
    <row r="234" spans="1:12" s="1299" customFormat="1" ht="6.75" customHeight="1">
      <c r="A234" s="1304"/>
      <c r="B234" s="1304"/>
      <c r="C234" s="1308"/>
      <c r="I234" s="1300"/>
      <c r="J234" s="1287"/>
      <c r="K234" s="1304"/>
      <c r="L234" s="1300"/>
    </row>
    <row r="235" spans="1:12" s="1299" customFormat="1" ht="15.75">
      <c r="A235" s="1304" t="s">
        <v>841</v>
      </c>
      <c r="B235" s="1304"/>
      <c r="C235" s="1326"/>
      <c r="I235" s="1300"/>
      <c r="J235" s="1287"/>
      <c r="K235" s="1304"/>
      <c r="L235" s="1300"/>
    </row>
    <row r="236" spans="1:12" s="1299" customFormat="1" ht="15.75">
      <c r="A236" s="1304"/>
      <c r="B236" s="1304" t="s">
        <v>345</v>
      </c>
      <c r="C236" s="1326"/>
      <c r="I236" s="1300"/>
      <c r="J236" s="1287"/>
      <c r="K236" s="1304"/>
      <c r="L236" s="1300"/>
    </row>
    <row r="237" spans="1:12" s="1299" customFormat="1" ht="15.75">
      <c r="A237" s="1304"/>
      <c r="B237" s="1304" t="s">
        <v>179</v>
      </c>
      <c r="C237" s="1326"/>
      <c r="I237" s="1300"/>
      <c r="J237" s="1287" t="s">
        <v>933</v>
      </c>
      <c r="K237" s="1304" t="s">
        <v>652</v>
      </c>
      <c r="L237" s="1300"/>
    </row>
    <row r="238" spans="1:12" s="1299" customFormat="1" ht="7.5" customHeight="1">
      <c r="A238" s="1304"/>
      <c r="B238" s="1304"/>
      <c r="C238" s="1326"/>
      <c r="I238" s="1300"/>
      <c r="J238" s="1287"/>
      <c r="K238" s="1304"/>
      <c r="L238" s="1300"/>
    </row>
    <row r="239" spans="1:12" s="1299" customFormat="1" ht="15.75">
      <c r="A239" s="1304" t="s">
        <v>859</v>
      </c>
      <c r="B239" s="1304"/>
      <c r="C239" s="1308"/>
      <c r="I239" s="1300"/>
      <c r="J239" s="1287"/>
      <c r="K239" s="1304"/>
      <c r="L239" s="1300"/>
    </row>
    <row r="240" spans="1:12" s="1299" customFormat="1" ht="15.75">
      <c r="A240" s="1304"/>
      <c r="B240" s="1304" t="s">
        <v>348</v>
      </c>
      <c r="C240" s="1308"/>
      <c r="I240" s="1300"/>
      <c r="J240" s="1287"/>
      <c r="K240" s="1304"/>
      <c r="L240" s="1300"/>
    </row>
    <row r="241" spans="1:12" s="1299" customFormat="1" ht="15.75">
      <c r="A241" s="1304"/>
      <c r="B241" s="1304" t="s">
        <v>809</v>
      </c>
      <c r="C241" s="1308"/>
      <c r="I241" s="1300"/>
      <c r="J241" s="1287" t="s">
        <v>934</v>
      </c>
      <c r="K241" s="1304" t="s">
        <v>652</v>
      </c>
      <c r="L241" s="1300"/>
    </row>
    <row r="242" spans="1:12" s="1299" customFormat="1" ht="15.75">
      <c r="A242" s="1304"/>
      <c r="B242" s="1304"/>
      <c r="C242" s="1308"/>
      <c r="I242" s="1300"/>
      <c r="J242" s="1287"/>
      <c r="K242" s="1304"/>
      <c r="L242" s="1300"/>
    </row>
    <row r="243" spans="1:12" s="1299" customFormat="1" ht="15.75">
      <c r="A243" s="1304"/>
      <c r="B243" s="1304"/>
      <c r="C243" s="1308"/>
      <c r="I243" s="1300"/>
      <c r="J243" s="1287"/>
      <c r="K243" s="1304"/>
      <c r="L243" s="1300"/>
    </row>
    <row r="244" spans="1:12" s="1299" customFormat="1" ht="15.75">
      <c r="A244" s="1304"/>
      <c r="B244" s="1304"/>
      <c r="C244" s="1308"/>
      <c r="I244" s="1300"/>
      <c r="J244" s="1287"/>
      <c r="K244" s="1304"/>
      <c r="L244" s="1300"/>
    </row>
    <row r="245" spans="1:12" s="1299" customFormat="1" ht="11.25" customHeight="1" hidden="1">
      <c r="A245" s="1304"/>
      <c r="B245" s="1304"/>
      <c r="C245" s="1308"/>
      <c r="I245" s="1300"/>
      <c r="J245" s="1287"/>
      <c r="K245" s="1304"/>
      <c r="L245" s="1300"/>
    </row>
    <row r="246" spans="1:12" s="1299" customFormat="1" ht="15.75" hidden="1">
      <c r="A246" s="1304" t="s">
        <v>837</v>
      </c>
      <c r="B246" s="1304"/>
      <c r="C246" s="1308"/>
      <c r="I246" s="1300"/>
      <c r="J246" s="1287"/>
      <c r="K246" s="1304"/>
      <c r="L246" s="1300"/>
    </row>
    <row r="247" spans="1:12" s="1299" customFormat="1" ht="15.75" hidden="1">
      <c r="A247" s="1304"/>
      <c r="B247" s="1304" t="s">
        <v>340</v>
      </c>
      <c r="C247" s="1308"/>
      <c r="I247" s="1300"/>
      <c r="J247" s="1287"/>
      <c r="K247" s="1304" t="s">
        <v>652</v>
      </c>
      <c r="L247" s="1300"/>
    </row>
    <row r="248" spans="1:12" s="1299" customFormat="1" ht="15.75" hidden="1">
      <c r="A248" s="1304"/>
      <c r="B248" s="1304"/>
      <c r="C248" s="1308"/>
      <c r="I248" s="1300"/>
      <c r="J248" s="1287"/>
      <c r="K248" s="1304"/>
      <c r="L248" s="1300"/>
    </row>
    <row r="249" spans="1:12" s="1299" customFormat="1" ht="15.75" hidden="1">
      <c r="A249" s="1304"/>
      <c r="B249" s="1304"/>
      <c r="C249" s="1308"/>
      <c r="I249" s="1300"/>
      <c r="J249" s="1287"/>
      <c r="K249" s="1304"/>
      <c r="L249" s="1300"/>
    </row>
    <row r="250" spans="1:12" s="1299" customFormat="1" ht="22.5" hidden="1">
      <c r="A250" s="1284" t="s">
        <v>842</v>
      </c>
      <c r="B250" s="1304"/>
      <c r="C250" s="1308"/>
      <c r="I250" s="1300"/>
      <c r="J250" s="1287"/>
      <c r="K250" s="1304"/>
      <c r="L250" s="1300"/>
    </row>
    <row r="251" ht="12.75" hidden="1">
      <c r="B251" s="1249"/>
    </row>
    <row r="252" ht="12.75" hidden="1">
      <c r="B252" s="1249"/>
    </row>
    <row r="253" ht="79.5" customHeight="1" hidden="1">
      <c r="B253" s="1249"/>
    </row>
    <row r="254" ht="12.75" hidden="1">
      <c r="B254" s="1249"/>
    </row>
    <row r="255" ht="12.75" hidden="1">
      <c r="B255" s="1249"/>
    </row>
    <row r="256" spans="1:11" ht="105" customHeight="1" hidden="1">
      <c r="A256" s="1343" t="s">
        <v>207</v>
      </c>
      <c r="B256" s="1343"/>
      <c r="C256" s="1343"/>
      <c r="D256" s="1343"/>
      <c r="E256" s="1343"/>
      <c r="F256" s="1343"/>
      <c r="G256" s="1343"/>
      <c r="H256" s="1343"/>
      <c r="I256" s="1343"/>
      <c r="J256" s="1343"/>
      <c r="K256" s="1343"/>
    </row>
    <row r="257" ht="12.75" hidden="1">
      <c r="B257" s="1249"/>
    </row>
    <row r="258" ht="12.75" hidden="1">
      <c r="B258" s="1249"/>
    </row>
    <row r="259" ht="12.75">
      <c r="B259" s="1249"/>
    </row>
    <row r="260" ht="12.75">
      <c r="B260" s="1249"/>
    </row>
    <row r="261" ht="12.75">
      <c r="B261" s="1249"/>
    </row>
    <row r="262" ht="12.75">
      <c r="B262" s="1249"/>
    </row>
  </sheetData>
  <sheetProtection/>
  <mergeCells count="22">
    <mergeCell ref="A12:J12"/>
    <mergeCell ref="A30:J30"/>
    <mergeCell ref="A22:F22"/>
    <mergeCell ref="G22:K22"/>
    <mergeCell ref="A31:J31"/>
    <mergeCell ref="A32:J32"/>
    <mergeCell ref="A3:K3"/>
    <mergeCell ref="A4:K4"/>
    <mergeCell ref="A5:K5"/>
    <mergeCell ref="A6:K6"/>
    <mergeCell ref="A7:K7"/>
    <mergeCell ref="G43:K43"/>
    <mergeCell ref="A42:F42"/>
    <mergeCell ref="A10:J10"/>
    <mergeCell ref="A11:J11"/>
    <mergeCell ref="G42:K42"/>
    <mergeCell ref="A256:K256"/>
    <mergeCell ref="A23:K23"/>
    <mergeCell ref="A24:K24"/>
    <mergeCell ref="A25:K25"/>
    <mergeCell ref="A26:K26"/>
    <mergeCell ref="A43:F43"/>
  </mergeCells>
  <printOptions horizontalCentered="1"/>
  <pageMargins left="0.5905511811023623" right="0.1968503937007874" top="0.7874015748031497" bottom="0.5905511811023623" header="0.5118110236220472" footer="0.5118110236220472"/>
  <pageSetup horizontalDpi="300" verticalDpi="300" orientation="portrait" paperSize="9" scale="85" r:id="rId1"/>
  <rowBreaks count="3" manualBreakCount="3">
    <brk id="45" max="10" man="1"/>
    <brk id="175" max="10" man="1"/>
    <brk id="24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2"/>
  <sheetViews>
    <sheetView showGridLines="0" view="pageBreakPreview" zoomScaleNormal="75" zoomScaleSheetLayoutView="100" zoomScalePageLayoutView="0" workbookViewId="0" topLeftCell="A1">
      <selection activeCell="B1" sqref="B1"/>
    </sheetView>
  </sheetViews>
  <sheetFormatPr defaultColWidth="10.625" defaultRowHeight="12.75"/>
  <cols>
    <col min="1" max="1" width="5.125" style="824" customWidth="1"/>
    <col min="2" max="2" width="118.50390625" style="1093" customWidth="1"/>
    <col min="3" max="3" width="26.125" style="1094" customWidth="1"/>
    <col min="4" max="4" width="23.375" style="1093" customWidth="1"/>
    <col min="5" max="5" width="23.50390625" style="1093" customWidth="1"/>
    <col min="6" max="16384" width="10.625" style="1093" customWidth="1"/>
  </cols>
  <sheetData>
    <row r="1" spans="2:3" ht="34.5" customHeight="1">
      <c r="B1" s="1067" t="s">
        <v>945</v>
      </c>
      <c r="C1" s="1092"/>
    </row>
    <row r="2" ht="3.75" customHeight="1"/>
    <row r="3" ht="15.75" hidden="1">
      <c r="H3" s="1095"/>
    </row>
    <row r="4" spans="1:8" s="1097" customFormat="1" ht="3" customHeight="1">
      <c r="A4" s="824"/>
      <c r="B4" s="1370"/>
      <c r="C4" s="1370"/>
      <c r="D4" s="1096"/>
      <c r="E4" s="1096"/>
      <c r="F4" s="1096"/>
      <c r="G4" s="1096"/>
      <c r="H4" s="1096"/>
    </row>
    <row r="5" spans="1:8" s="1099" customFormat="1" ht="23.25">
      <c r="A5" s="824"/>
      <c r="B5" s="1371" t="s">
        <v>343</v>
      </c>
      <c r="C5" s="1371"/>
      <c r="D5" s="1098"/>
      <c r="E5" s="1098"/>
      <c r="F5" s="1098"/>
      <c r="G5" s="1098"/>
      <c r="H5" s="1098"/>
    </row>
    <row r="6" spans="1:8" s="1099" customFormat="1" ht="23.25">
      <c r="A6" s="824"/>
      <c r="B6" s="1371" t="s">
        <v>708</v>
      </c>
      <c r="C6" s="1371"/>
      <c r="D6" s="1098"/>
      <c r="E6" s="1098"/>
      <c r="F6" s="1098"/>
      <c r="G6" s="1098"/>
      <c r="H6" s="1098"/>
    </row>
    <row r="7" spans="2:8" ht="27" customHeight="1" thickBot="1">
      <c r="B7" s="1100"/>
      <c r="C7" s="1101"/>
      <c r="D7" s="1100"/>
      <c r="E7" s="1100"/>
      <c r="F7" s="1100"/>
      <c r="G7" s="1100"/>
      <c r="H7" s="1100"/>
    </row>
    <row r="8" spans="1:3" s="832" customFormat="1" ht="21" customHeight="1" thickBot="1">
      <c r="A8" s="825"/>
      <c r="B8" s="830" t="s">
        <v>138</v>
      </c>
      <c r="C8" s="831" t="s">
        <v>139</v>
      </c>
    </row>
    <row r="9" spans="1:3" ht="48" customHeight="1" thickBot="1">
      <c r="A9" s="826"/>
      <c r="B9" s="1102" t="s">
        <v>172</v>
      </c>
      <c r="C9" s="1103" t="s">
        <v>724</v>
      </c>
    </row>
    <row r="10" spans="1:3" s="1105" customFormat="1" ht="9" customHeight="1">
      <c r="A10" s="827"/>
      <c r="B10" s="204"/>
      <c r="C10" s="1104"/>
    </row>
    <row r="11" spans="1:3" s="1107" customFormat="1" ht="18.75">
      <c r="A11" s="827" t="s">
        <v>464</v>
      </c>
      <c r="B11" s="718" t="s">
        <v>568</v>
      </c>
      <c r="C11" s="1106">
        <v>100000000</v>
      </c>
    </row>
    <row r="12" spans="1:3" s="1105" customFormat="1" ht="9" customHeight="1">
      <c r="A12" s="827"/>
      <c r="B12" s="719"/>
      <c r="C12" s="1108"/>
    </row>
    <row r="13" spans="1:3" s="1105" customFormat="1" ht="30.75" customHeight="1">
      <c r="A13" s="828" t="s">
        <v>562</v>
      </c>
      <c r="B13" s="725" t="s">
        <v>276</v>
      </c>
      <c r="C13" s="1109"/>
    </row>
    <row r="14" spans="1:3" s="1105" customFormat="1" ht="15.75">
      <c r="A14" s="828" t="s">
        <v>563</v>
      </c>
      <c r="B14" s="726" t="s">
        <v>38</v>
      </c>
      <c r="C14" s="1108"/>
    </row>
    <row r="15" spans="1:3" s="1105" customFormat="1" ht="15.75">
      <c r="A15" s="828" t="s">
        <v>564</v>
      </c>
      <c r="B15" s="727" t="s">
        <v>227</v>
      </c>
      <c r="C15" s="1110">
        <v>37816000</v>
      </c>
    </row>
    <row r="16" spans="1:3" s="1105" customFormat="1" ht="15.75">
      <c r="A16" s="828" t="s">
        <v>565</v>
      </c>
      <c r="B16" s="727" t="s">
        <v>228</v>
      </c>
      <c r="C16" s="1110">
        <v>6604000</v>
      </c>
    </row>
    <row r="17" spans="1:3" s="1105" customFormat="1" ht="15.75">
      <c r="A17" s="828" t="s">
        <v>566</v>
      </c>
      <c r="B17" s="728" t="s">
        <v>731</v>
      </c>
      <c r="C17" s="1110">
        <v>102000000</v>
      </c>
    </row>
    <row r="18" spans="1:3" s="1105" customFormat="1" ht="15.75">
      <c r="A18" s="828" t="s">
        <v>567</v>
      </c>
      <c r="B18" s="726" t="s">
        <v>107</v>
      </c>
      <c r="C18" s="1108"/>
    </row>
    <row r="19" spans="1:3" s="1105" customFormat="1" ht="15.75">
      <c r="A19" s="828" t="s">
        <v>590</v>
      </c>
      <c r="B19" s="728" t="s">
        <v>730</v>
      </c>
      <c r="C19" s="1108">
        <v>20000000</v>
      </c>
    </row>
    <row r="20" spans="1:3" s="1105" customFormat="1" ht="21.75" customHeight="1">
      <c r="A20" s="827"/>
      <c r="B20" s="719"/>
      <c r="C20" s="1108"/>
    </row>
    <row r="21" spans="1:3" s="1105" customFormat="1" ht="18.75">
      <c r="A21" s="827" t="s">
        <v>351</v>
      </c>
      <c r="B21" s="823" t="s">
        <v>385</v>
      </c>
      <c r="C21" s="1109"/>
    </row>
    <row r="22" spans="1:3" s="1105" customFormat="1" ht="15.75">
      <c r="A22" s="827" t="s">
        <v>174</v>
      </c>
      <c r="B22" s="724" t="s">
        <v>38</v>
      </c>
      <c r="C22" s="1108"/>
    </row>
    <row r="23" spans="1:3" s="1105" customFormat="1" ht="15.75">
      <c r="A23" s="827" t="s">
        <v>375</v>
      </c>
      <c r="B23" s="720" t="s">
        <v>729</v>
      </c>
      <c r="C23" s="1108">
        <v>10000000</v>
      </c>
    </row>
    <row r="24" spans="1:3" s="1105" customFormat="1" ht="2.25" customHeight="1">
      <c r="A24" s="827"/>
      <c r="B24" s="722"/>
      <c r="C24" s="1108"/>
    </row>
    <row r="25" spans="1:3" s="1105" customFormat="1" ht="20.25" customHeight="1">
      <c r="A25" s="827"/>
      <c r="B25" s="722"/>
      <c r="C25" s="1108"/>
    </row>
    <row r="26" spans="1:3" s="1105" customFormat="1" ht="18.75">
      <c r="A26" s="827" t="s">
        <v>376</v>
      </c>
      <c r="B26" s="725" t="s">
        <v>225</v>
      </c>
      <c r="C26" s="1108"/>
    </row>
    <row r="27" spans="1:3" s="1105" customFormat="1" ht="15.75">
      <c r="A27" s="827" t="s">
        <v>142</v>
      </c>
      <c r="B27" s="726" t="s">
        <v>107</v>
      </c>
      <c r="C27" s="1110"/>
    </row>
    <row r="28" spans="1:3" s="1105" customFormat="1" ht="31.5">
      <c r="A28" s="827" t="s">
        <v>377</v>
      </c>
      <c r="B28" s="734" t="s">
        <v>268</v>
      </c>
      <c r="C28" s="1108">
        <v>205000000</v>
      </c>
    </row>
    <row r="29" spans="1:3" s="1105" customFormat="1" ht="15.75">
      <c r="A29" s="827"/>
      <c r="B29" s="722"/>
      <c r="C29" s="1108"/>
    </row>
    <row r="30" spans="1:3" s="1105" customFormat="1" ht="18.75">
      <c r="A30" s="827" t="s">
        <v>378</v>
      </c>
      <c r="B30" s="723" t="s">
        <v>226</v>
      </c>
      <c r="C30" s="1108"/>
    </row>
    <row r="31" spans="1:3" s="1105" customFormat="1" ht="15.75">
      <c r="A31" s="827" t="s">
        <v>505</v>
      </c>
      <c r="B31" s="724" t="s">
        <v>107</v>
      </c>
      <c r="C31" s="1108"/>
    </row>
    <row r="32" spans="1:3" s="1105" customFormat="1" ht="15.75">
      <c r="A32" s="827" t="s">
        <v>143</v>
      </c>
      <c r="B32" s="720" t="s">
        <v>728</v>
      </c>
      <c r="C32" s="1108">
        <v>227699463</v>
      </c>
    </row>
    <row r="33" spans="1:4" s="1105" customFormat="1" ht="15" customHeight="1">
      <c r="A33" s="827"/>
      <c r="B33" s="751"/>
      <c r="C33" s="1111"/>
      <c r="D33" s="1112"/>
    </row>
    <row r="34" spans="1:3" s="1105" customFormat="1" ht="15.75" hidden="1">
      <c r="A34" s="827"/>
      <c r="B34" s="722"/>
      <c r="C34" s="1108"/>
    </row>
    <row r="35" spans="1:3" s="1105" customFormat="1" ht="18.75">
      <c r="A35" s="827" t="s">
        <v>144</v>
      </c>
      <c r="B35" s="725" t="s">
        <v>512</v>
      </c>
      <c r="C35" s="1108"/>
    </row>
    <row r="36" spans="1:4" s="1105" customFormat="1" ht="17.25" customHeight="1">
      <c r="A36" s="827" t="s">
        <v>145</v>
      </c>
      <c r="B36" s="726" t="s">
        <v>38</v>
      </c>
      <c r="C36" s="1110"/>
      <c r="D36" s="1112">
        <f>SUM(C37:C43)</f>
        <v>122749000</v>
      </c>
    </row>
    <row r="37" spans="1:4" s="1105" customFormat="1" ht="15.75">
      <c r="A37" s="827" t="s">
        <v>146</v>
      </c>
      <c r="B37" s="728" t="s">
        <v>736</v>
      </c>
      <c r="C37" s="1108">
        <v>25000000</v>
      </c>
      <c r="D37" s="1112"/>
    </row>
    <row r="38" spans="1:3" s="1105" customFormat="1" ht="15.75">
      <c r="A38" s="827" t="s">
        <v>147</v>
      </c>
      <c r="B38" s="731" t="s">
        <v>737</v>
      </c>
      <c r="C38" s="1108">
        <v>72441000</v>
      </c>
    </row>
    <row r="39" spans="1:3" s="1105" customFormat="1" ht="15.75">
      <c r="A39" s="827" t="s">
        <v>148</v>
      </c>
      <c r="B39" s="732" t="s">
        <v>267</v>
      </c>
      <c r="C39" s="1108">
        <v>1000000</v>
      </c>
    </row>
    <row r="40" spans="1:3" s="1105" customFormat="1" ht="31.5">
      <c r="A40" s="827" t="s">
        <v>149</v>
      </c>
      <c r="B40" s="732" t="s">
        <v>559</v>
      </c>
      <c r="C40" s="1108">
        <v>13208000</v>
      </c>
    </row>
    <row r="41" spans="1:3" s="1105" customFormat="1" ht="15.75">
      <c r="A41" s="827" t="s">
        <v>379</v>
      </c>
      <c r="B41" s="728" t="s">
        <v>738</v>
      </c>
      <c r="C41" s="1108">
        <v>3100000</v>
      </c>
    </row>
    <row r="42" spans="1:3" s="1105" customFormat="1" ht="15.75">
      <c r="A42" s="827" t="s">
        <v>150</v>
      </c>
      <c r="B42" s="733" t="s">
        <v>107</v>
      </c>
      <c r="C42" s="1108"/>
    </row>
    <row r="43" spans="1:3" s="1105" customFormat="1" ht="15.75">
      <c r="A43" s="827" t="s">
        <v>151</v>
      </c>
      <c r="B43" s="731" t="s">
        <v>733</v>
      </c>
      <c r="C43" s="1108">
        <v>8000000</v>
      </c>
    </row>
    <row r="44" spans="1:3" s="1105" customFormat="1" ht="14.25" customHeight="1">
      <c r="A44" s="827"/>
      <c r="B44" s="722"/>
      <c r="C44" s="1108"/>
    </row>
    <row r="45" spans="1:3" s="1105" customFormat="1" ht="1.5" customHeight="1">
      <c r="A45" s="827"/>
      <c r="B45" s="722"/>
      <c r="C45" s="1108"/>
    </row>
    <row r="46" spans="1:3" s="1105" customFormat="1" ht="16.5" customHeight="1">
      <c r="A46" s="827" t="s">
        <v>152</v>
      </c>
      <c r="B46" s="723" t="s">
        <v>224</v>
      </c>
      <c r="C46" s="1108"/>
    </row>
    <row r="47" spans="1:3" s="1105" customFormat="1" ht="16.5" customHeight="1">
      <c r="A47" s="827" t="s">
        <v>153</v>
      </c>
      <c r="B47" s="721" t="s">
        <v>38</v>
      </c>
      <c r="C47" s="1108"/>
    </row>
    <row r="48" spans="1:3" s="1105" customFormat="1" ht="16.5" customHeight="1">
      <c r="A48" s="827" t="s">
        <v>154</v>
      </c>
      <c r="B48" s="722" t="s">
        <v>178</v>
      </c>
      <c r="C48" s="1108">
        <v>50000000</v>
      </c>
    </row>
    <row r="49" spans="1:3" s="1105" customFormat="1" ht="31.5">
      <c r="A49" s="827" t="s">
        <v>155</v>
      </c>
      <c r="B49" s="720" t="s">
        <v>726</v>
      </c>
      <c r="C49" s="1108">
        <v>29700000</v>
      </c>
    </row>
    <row r="50" spans="1:3" s="1105" customFormat="1" ht="31.5">
      <c r="A50" s="827" t="s">
        <v>156</v>
      </c>
      <c r="B50" s="720" t="s">
        <v>559</v>
      </c>
      <c r="C50" s="1108">
        <v>5000000</v>
      </c>
    </row>
    <row r="51" spans="1:3" s="1105" customFormat="1" ht="16.5" customHeight="1">
      <c r="A51" s="827" t="s">
        <v>157</v>
      </c>
      <c r="B51" s="721" t="s">
        <v>107</v>
      </c>
      <c r="C51" s="1108"/>
    </row>
    <row r="52" spans="1:3" s="1105" customFormat="1" ht="31.5">
      <c r="A52" s="827" t="s">
        <v>158</v>
      </c>
      <c r="B52" s="720" t="s">
        <v>727</v>
      </c>
      <c r="C52" s="1108">
        <v>18505000</v>
      </c>
    </row>
    <row r="53" spans="1:3" s="1105" customFormat="1" ht="21" customHeight="1">
      <c r="A53" s="827"/>
      <c r="B53" s="720"/>
      <c r="C53" s="1108"/>
    </row>
    <row r="54" spans="1:3" s="1105" customFormat="1" ht="15.75" hidden="1">
      <c r="A54" s="827"/>
      <c r="B54" s="720"/>
      <c r="C54" s="1108"/>
    </row>
    <row r="55" spans="1:3" s="1105" customFormat="1" ht="18.75">
      <c r="A55" s="827" t="s">
        <v>159</v>
      </c>
      <c r="B55" s="723" t="s">
        <v>734</v>
      </c>
      <c r="C55" s="1108"/>
    </row>
    <row r="56" spans="1:3" s="1105" customFormat="1" ht="15.75">
      <c r="A56" s="827" t="s">
        <v>160</v>
      </c>
      <c r="B56" s="721" t="s">
        <v>107</v>
      </c>
      <c r="C56" s="1108"/>
    </row>
    <row r="57" spans="1:3" s="1105" customFormat="1" ht="31.5">
      <c r="A57" s="827" t="s">
        <v>161</v>
      </c>
      <c r="B57" s="729" t="s">
        <v>735</v>
      </c>
      <c r="C57" s="1108">
        <v>150000000</v>
      </c>
    </row>
    <row r="58" spans="1:3" s="1105" customFormat="1" ht="13.5" customHeight="1">
      <c r="A58" s="827"/>
      <c r="B58" s="1113"/>
      <c r="C58" s="1114"/>
    </row>
    <row r="59" spans="1:3" s="1105" customFormat="1" ht="15.75" hidden="1">
      <c r="A59" s="827"/>
      <c r="B59" s="1113"/>
      <c r="C59" s="1114"/>
    </row>
    <row r="60" spans="1:3" s="1115" customFormat="1" ht="18.75">
      <c r="A60" s="827" t="s">
        <v>162</v>
      </c>
      <c r="B60" s="735" t="s">
        <v>634</v>
      </c>
      <c r="C60" s="1109"/>
    </row>
    <row r="61" spans="1:3" s="1115" customFormat="1" ht="18.75">
      <c r="A61" s="827" t="s">
        <v>380</v>
      </c>
      <c r="B61" s="733" t="s">
        <v>107</v>
      </c>
      <c r="C61" s="1109"/>
    </row>
    <row r="62" spans="1:3" s="1105" customFormat="1" ht="15.75">
      <c r="A62" s="827" t="s">
        <v>381</v>
      </c>
      <c r="B62" s="736" t="s">
        <v>635</v>
      </c>
      <c r="C62" s="1108">
        <v>855795</v>
      </c>
    </row>
    <row r="63" spans="1:3" s="1105" customFormat="1" ht="15" customHeight="1" thickBot="1">
      <c r="A63" s="827"/>
      <c r="B63" s="737"/>
      <c r="C63" s="1116"/>
    </row>
    <row r="64" spans="1:3" s="1118" customFormat="1" ht="36" customHeight="1" thickBot="1">
      <c r="A64" s="829" t="s">
        <v>163</v>
      </c>
      <c r="B64" s="738" t="s">
        <v>615</v>
      </c>
      <c r="C64" s="1117">
        <f>SUM(C10:C63)</f>
        <v>1085929258</v>
      </c>
    </row>
    <row r="65" spans="2:5" ht="15.75">
      <c r="B65" s="1105"/>
      <c r="E65" s="1119"/>
    </row>
    <row r="66" spans="2:5" ht="15.75">
      <c r="B66" s="1120">
        <f>'[5]kiemelt ei összesítő'!$U$23</f>
        <v>355869000</v>
      </c>
      <c r="C66" s="1094">
        <f>'[6]KIEMELT ELŐIRÁNYZATOK'!$U$25</f>
        <v>355869</v>
      </c>
      <c r="D66" s="1093" t="s">
        <v>404</v>
      </c>
      <c r="E66" s="1121">
        <f>B66-(C66*1000)</f>
        <v>0</v>
      </c>
    </row>
    <row r="67" spans="2:5" ht="15.75">
      <c r="B67" s="1120">
        <f>'[5]kiemelt ei összesítő'!$U$24</f>
        <v>630060258</v>
      </c>
      <c r="C67" s="1094">
        <f>'[6]KIEMELT ELŐIRÁNYZATOK'!$U$41</f>
        <v>630060</v>
      </c>
      <c r="D67" s="1119" t="s">
        <v>37</v>
      </c>
      <c r="E67" s="1121">
        <f>B67-(C67*1000)</f>
        <v>258</v>
      </c>
    </row>
    <row r="68" spans="2:5" ht="15.75">
      <c r="B68" s="1122">
        <f>'[5]kiemelt ei összesítő'!$U$22</f>
        <v>100000000</v>
      </c>
      <c r="C68" s="1094">
        <f>'[6]KIEMELT ELŐIRÁNYZATOK'!$U$24</f>
        <v>100000</v>
      </c>
      <c r="D68" s="1123" t="s">
        <v>616</v>
      </c>
      <c r="E68" s="1121">
        <f>B68-(C68*1000)</f>
        <v>0</v>
      </c>
    </row>
    <row r="69" spans="2:5" ht="24.75" customHeight="1">
      <c r="B69" s="1120">
        <f>SUM(B66:B68)</f>
        <v>1085929258</v>
      </c>
      <c r="C69" s="1094">
        <f>SUM(C66:C68)</f>
        <v>1085929</v>
      </c>
      <c r="D69" s="1119"/>
      <c r="E69" s="1121">
        <f>B69-(C69*1000)</f>
        <v>258</v>
      </c>
    </row>
    <row r="70" spans="2:5" ht="15.75">
      <c r="B70" s="1121"/>
      <c r="C70" s="1094">
        <f>C64/1000-C69</f>
        <v>0.2579999999143183</v>
      </c>
      <c r="D70" s="1093" t="s">
        <v>339</v>
      </c>
      <c r="E70" s="1119"/>
    </row>
    <row r="71" ht="15.75">
      <c r="B71" s="1119"/>
    </row>
    <row r="72" ht="15.75">
      <c r="E72" s="1119"/>
    </row>
  </sheetData>
  <sheetProtection/>
  <mergeCells count="3">
    <mergeCell ref="B4:C4"/>
    <mergeCell ref="B5:C5"/>
    <mergeCell ref="B6:C6"/>
  </mergeCells>
  <printOptions horizontalCentered="1"/>
  <pageMargins left="0.3937007874015748" right="0.3937007874015748" top="0.31496062992125984" bottom="0.5905511811023623" header="0.35433070866141736" footer="0.5118110236220472"/>
  <pageSetup horizontalDpi="600" verticalDpi="600" orientation="portrait" paperSize="9" scale="70" r:id="rId1"/>
  <rowBreaks count="1" manualBreakCount="1">
    <brk id="6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2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10.625" defaultRowHeight="12.75"/>
  <cols>
    <col min="1" max="1" width="5.50390625" style="809" customWidth="1"/>
    <col min="2" max="2" width="2.125" style="1178" customWidth="1"/>
    <col min="3" max="3" width="115.125" style="675" customWidth="1"/>
    <col min="4" max="4" width="18.00390625" style="675" customWidth="1"/>
    <col min="5" max="5" width="18.375" style="675" customWidth="1"/>
    <col min="6" max="6" width="19.00390625" style="1161" customWidth="1"/>
    <col min="7" max="7" width="21.00390625" style="675" customWidth="1"/>
    <col min="8" max="16384" width="10.625" style="675" customWidth="1"/>
  </cols>
  <sheetData>
    <row r="1" spans="1:6" ht="20.25">
      <c r="A1" s="808"/>
      <c r="B1" s="1342" t="s">
        <v>946</v>
      </c>
      <c r="C1" s="670"/>
      <c r="D1" s="670"/>
      <c r="E1" s="1374"/>
      <c r="F1" s="1374"/>
    </row>
    <row r="2" spans="1:6" ht="6" customHeight="1">
      <c r="A2" s="808"/>
      <c r="B2" s="779"/>
      <c r="C2" s="670"/>
      <c r="D2" s="670"/>
      <c r="E2" s="1376"/>
      <c r="F2" s="1376"/>
    </row>
    <row r="3" spans="1:6" ht="0.75" customHeight="1">
      <c r="A3" s="808"/>
      <c r="B3" s="779"/>
      <c r="C3" s="670"/>
      <c r="D3" s="670"/>
      <c r="E3" s="670"/>
      <c r="F3" s="683"/>
    </row>
    <row r="4" spans="1:6" s="804" customFormat="1" ht="18.75" hidden="1">
      <c r="A4" s="1377"/>
      <c r="B4" s="1377"/>
      <c r="C4" s="1377"/>
      <c r="D4" s="1377"/>
      <c r="E4" s="1377"/>
      <c r="F4" s="1377"/>
    </row>
    <row r="5" spans="1:9" s="804" customFormat="1" ht="3.75" customHeight="1">
      <c r="A5" s="809"/>
      <c r="B5" s="1055"/>
      <c r="C5" s="1055"/>
      <c r="D5" s="1055"/>
      <c r="E5" s="1055"/>
      <c r="F5" s="1173"/>
      <c r="G5" s="1055"/>
      <c r="I5" s="1055"/>
    </row>
    <row r="6" spans="1:9" ht="42.75" customHeight="1">
      <c r="A6" s="1379" t="s">
        <v>879</v>
      </c>
      <c r="B6" s="1379"/>
      <c r="C6" s="1379"/>
      <c r="D6" s="1379"/>
      <c r="E6" s="1379"/>
      <c r="F6" s="1379"/>
      <c r="G6" s="985"/>
      <c r="I6" s="985"/>
    </row>
    <row r="7" spans="1:6" s="1174" customFormat="1" ht="16.5" thickBot="1">
      <c r="A7" s="809"/>
      <c r="E7" s="1378" t="s">
        <v>384</v>
      </c>
      <c r="F7" s="1378"/>
    </row>
    <row r="8" spans="1:6" s="818" customFormat="1" ht="20.25" customHeight="1" thickBot="1">
      <c r="A8" s="810"/>
      <c r="B8" s="1380" t="s">
        <v>138</v>
      </c>
      <c r="C8" s="1381"/>
      <c r="D8" s="807" t="s">
        <v>139</v>
      </c>
      <c r="E8" s="817" t="s">
        <v>140</v>
      </c>
      <c r="F8" s="807" t="s">
        <v>141</v>
      </c>
    </row>
    <row r="9" spans="1:6" s="1165" customFormat="1" ht="55.5" customHeight="1" thickBot="1">
      <c r="A9" s="811"/>
      <c r="B9" s="1375" t="s">
        <v>392</v>
      </c>
      <c r="C9" s="1375"/>
      <c r="D9" s="1163" t="s">
        <v>709</v>
      </c>
      <c r="E9" s="1175" t="s">
        <v>711</v>
      </c>
      <c r="F9" s="1176" t="s">
        <v>710</v>
      </c>
    </row>
    <row r="10" spans="1:7" ht="28.5" customHeight="1">
      <c r="A10" s="812" t="s">
        <v>464</v>
      </c>
      <c r="B10" s="1372" t="s">
        <v>739</v>
      </c>
      <c r="C10" s="1373"/>
      <c r="D10" s="740">
        <f>SUM(D12:D57)</f>
        <v>52819</v>
      </c>
      <c r="E10" s="740">
        <f>SUM(E12:E57)</f>
        <v>0</v>
      </c>
      <c r="F10" s="740">
        <f>SUM(F12:F57)</f>
        <v>52819</v>
      </c>
      <c r="G10" s="675">
        <v>52819</v>
      </c>
    </row>
    <row r="11" spans="1:6" ht="15" customHeight="1" hidden="1">
      <c r="A11" s="812"/>
      <c r="B11" s="741"/>
      <c r="C11" s="730"/>
      <c r="D11" s="742"/>
      <c r="E11" s="743"/>
      <c r="F11" s="744"/>
    </row>
    <row r="12" spans="1:7" ht="15" customHeight="1">
      <c r="A12" s="812" t="s">
        <v>562</v>
      </c>
      <c r="B12" s="745" t="s">
        <v>749</v>
      </c>
      <c r="C12" s="730"/>
      <c r="D12" s="742"/>
      <c r="E12" s="743"/>
      <c r="F12" s="744"/>
      <c r="G12" s="675">
        <f>F10-G10</f>
        <v>0</v>
      </c>
    </row>
    <row r="13" spans="1:6" ht="15" customHeight="1">
      <c r="A13" s="812" t="s">
        <v>563</v>
      </c>
      <c r="B13" s="741"/>
      <c r="C13" s="739" t="s">
        <v>740</v>
      </c>
      <c r="D13" s="742">
        <f>10020+1433+712+2413</f>
        <v>14578</v>
      </c>
      <c r="E13" s="743"/>
      <c r="F13" s="744">
        <f aca="true" t="shared" si="0" ref="F13:F57">SUM(D13:E13)</f>
        <v>14578</v>
      </c>
    </row>
    <row r="14" spans="1:6" ht="15" customHeight="1">
      <c r="A14" s="812" t="s">
        <v>564</v>
      </c>
      <c r="B14" s="741"/>
      <c r="C14" s="739" t="s">
        <v>295</v>
      </c>
      <c r="D14" s="742">
        <f>3414+7018</f>
        <v>10432</v>
      </c>
      <c r="E14" s="743"/>
      <c r="F14" s="744">
        <f t="shared" si="0"/>
        <v>10432</v>
      </c>
    </row>
    <row r="15" spans="1:6" ht="15" customHeight="1">
      <c r="A15" s="812" t="s">
        <v>565</v>
      </c>
      <c r="B15" s="741"/>
      <c r="C15" s="739" t="s">
        <v>514</v>
      </c>
      <c r="D15" s="742">
        <v>418</v>
      </c>
      <c r="E15" s="743"/>
      <c r="F15" s="744">
        <f t="shared" si="0"/>
        <v>418</v>
      </c>
    </row>
    <row r="16" spans="1:6" ht="15" customHeight="1">
      <c r="A16" s="812" t="s">
        <v>566</v>
      </c>
      <c r="B16" s="741"/>
      <c r="C16" s="739" t="s">
        <v>653</v>
      </c>
      <c r="D16" s="742">
        <v>500</v>
      </c>
      <c r="E16" s="743"/>
      <c r="F16" s="744">
        <f t="shared" si="0"/>
        <v>500</v>
      </c>
    </row>
    <row r="17" spans="1:6" ht="15.75">
      <c r="A17" s="812" t="s">
        <v>567</v>
      </c>
      <c r="B17" s="741"/>
      <c r="C17" s="739" t="s">
        <v>657</v>
      </c>
      <c r="D17" s="742">
        <v>401</v>
      </c>
      <c r="E17" s="743"/>
      <c r="F17" s="744">
        <f t="shared" si="0"/>
        <v>401</v>
      </c>
    </row>
    <row r="18" spans="1:6" ht="15.75">
      <c r="A18" s="812" t="s">
        <v>590</v>
      </c>
      <c r="B18" s="741"/>
      <c r="C18" s="739" t="s">
        <v>374</v>
      </c>
      <c r="D18" s="742">
        <v>102</v>
      </c>
      <c r="E18" s="743"/>
      <c r="F18" s="744">
        <f t="shared" si="0"/>
        <v>102</v>
      </c>
    </row>
    <row r="19" spans="1:6" ht="15.75">
      <c r="A19" s="812" t="s">
        <v>351</v>
      </c>
      <c r="B19" s="741"/>
      <c r="C19" s="739" t="s">
        <v>665</v>
      </c>
      <c r="D19" s="742">
        <v>600</v>
      </c>
      <c r="E19" s="743"/>
      <c r="F19" s="744">
        <f t="shared" si="0"/>
        <v>600</v>
      </c>
    </row>
    <row r="20" spans="1:6" ht="15.75">
      <c r="A20" s="812" t="s">
        <v>174</v>
      </c>
      <c r="B20" s="746"/>
      <c r="C20" s="739" t="s">
        <v>516</v>
      </c>
      <c r="D20" s="742">
        <v>500</v>
      </c>
      <c r="E20" s="743"/>
      <c r="F20" s="744">
        <f t="shared" si="0"/>
        <v>500</v>
      </c>
    </row>
    <row r="21" spans="1:6" ht="15.75">
      <c r="A21" s="812" t="s">
        <v>375</v>
      </c>
      <c r="B21" s="741"/>
      <c r="C21" s="739" t="s">
        <v>667</v>
      </c>
      <c r="D21" s="742">
        <v>175</v>
      </c>
      <c r="E21" s="743"/>
      <c r="F21" s="744">
        <f t="shared" si="0"/>
        <v>175</v>
      </c>
    </row>
    <row r="22" spans="1:6" ht="15.75">
      <c r="A22" s="812" t="s">
        <v>376</v>
      </c>
      <c r="B22" s="741"/>
      <c r="C22" s="739" t="s">
        <v>668</v>
      </c>
      <c r="D22" s="742">
        <v>250</v>
      </c>
      <c r="E22" s="743"/>
      <c r="F22" s="744">
        <f t="shared" si="0"/>
        <v>250</v>
      </c>
    </row>
    <row r="23" spans="1:6" ht="15.75">
      <c r="A23" s="812" t="s">
        <v>142</v>
      </c>
      <c r="B23" s="741"/>
      <c r="C23" s="739" t="s">
        <v>654</v>
      </c>
      <c r="D23" s="742">
        <v>500</v>
      </c>
      <c r="E23" s="743"/>
      <c r="F23" s="744">
        <f t="shared" si="0"/>
        <v>500</v>
      </c>
    </row>
    <row r="24" spans="1:6" ht="15.75">
      <c r="A24" s="812" t="s">
        <v>377</v>
      </c>
      <c r="B24" s="747"/>
      <c r="C24" s="739" t="s">
        <v>278</v>
      </c>
      <c r="D24" s="742">
        <v>339</v>
      </c>
      <c r="E24" s="743"/>
      <c r="F24" s="744">
        <f t="shared" si="0"/>
        <v>339</v>
      </c>
    </row>
    <row r="25" spans="1:6" ht="15.75">
      <c r="A25" s="812" t="s">
        <v>378</v>
      </c>
      <c r="B25" s="741"/>
      <c r="C25" s="739" t="s">
        <v>666</v>
      </c>
      <c r="D25" s="742">
        <v>737</v>
      </c>
      <c r="E25" s="743"/>
      <c r="F25" s="744">
        <f t="shared" si="0"/>
        <v>737</v>
      </c>
    </row>
    <row r="26" spans="1:6" ht="15.75">
      <c r="A26" s="812" t="s">
        <v>503</v>
      </c>
      <c r="B26" s="741"/>
      <c r="C26" s="739" t="s">
        <v>741</v>
      </c>
      <c r="D26" s="742">
        <v>71</v>
      </c>
      <c r="E26" s="743"/>
      <c r="F26" s="744">
        <f t="shared" si="0"/>
        <v>71</v>
      </c>
    </row>
    <row r="27" spans="1:6" ht="15.75">
      <c r="A27" s="812" t="s">
        <v>504</v>
      </c>
      <c r="B27" s="741"/>
      <c r="C27" s="739" t="s">
        <v>742</v>
      </c>
      <c r="D27" s="742">
        <v>300</v>
      </c>
      <c r="E27" s="743"/>
      <c r="F27" s="744">
        <f t="shared" si="0"/>
        <v>300</v>
      </c>
    </row>
    <row r="28" spans="1:6" ht="15.75">
      <c r="A28" s="812" t="s">
        <v>505</v>
      </c>
      <c r="B28" s="741"/>
      <c r="C28" s="739" t="s">
        <v>743</v>
      </c>
      <c r="D28" s="742">
        <v>400</v>
      </c>
      <c r="E28" s="743"/>
      <c r="F28" s="744">
        <f t="shared" si="0"/>
        <v>400</v>
      </c>
    </row>
    <row r="29" spans="1:6" ht="15.75">
      <c r="A29" s="812" t="s">
        <v>143</v>
      </c>
      <c r="B29" s="741"/>
      <c r="C29" s="739" t="s">
        <v>658</v>
      </c>
      <c r="D29" s="742">
        <v>400</v>
      </c>
      <c r="E29" s="743"/>
      <c r="F29" s="744">
        <f t="shared" si="0"/>
        <v>400</v>
      </c>
    </row>
    <row r="30" spans="1:6" ht="15.75">
      <c r="A30" s="812" t="s">
        <v>144</v>
      </c>
      <c r="B30" s="741"/>
      <c r="C30" s="739" t="s">
        <v>517</v>
      </c>
      <c r="D30" s="742">
        <v>420</v>
      </c>
      <c r="E30" s="743"/>
      <c r="F30" s="744">
        <f t="shared" si="0"/>
        <v>420</v>
      </c>
    </row>
    <row r="31" spans="1:6" ht="15.75">
      <c r="A31" s="812" t="s">
        <v>145</v>
      </c>
      <c r="B31" s="741"/>
      <c r="C31" s="739" t="s">
        <v>515</v>
      </c>
      <c r="D31" s="742">
        <v>600</v>
      </c>
      <c r="E31" s="743"/>
      <c r="F31" s="744">
        <f t="shared" si="0"/>
        <v>600</v>
      </c>
    </row>
    <row r="32" spans="1:6" ht="15.75">
      <c r="A32" s="812" t="s">
        <v>146</v>
      </c>
      <c r="B32" s="741"/>
      <c r="C32" s="739" t="s">
        <v>485</v>
      </c>
      <c r="D32" s="742">
        <v>166</v>
      </c>
      <c r="E32" s="743"/>
      <c r="F32" s="744">
        <f t="shared" si="0"/>
        <v>166</v>
      </c>
    </row>
    <row r="33" spans="1:6" ht="15.75">
      <c r="A33" s="812" t="s">
        <v>147</v>
      </c>
      <c r="B33" s="741"/>
      <c r="C33" s="739" t="s">
        <v>744</v>
      </c>
      <c r="D33" s="742">
        <v>374</v>
      </c>
      <c r="E33" s="743"/>
      <c r="F33" s="744">
        <f t="shared" si="0"/>
        <v>374</v>
      </c>
    </row>
    <row r="34" spans="1:6" ht="15.75">
      <c r="A34" s="812" t="s">
        <v>148</v>
      </c>
      <c r="B34" s="741"/>
      <c r="C34" s="739" t="s">
        <v>518</v>
      </c>
      <c r="D34" s="742">
        <v>600</v>
      </c>
      <c r="E34" s="743"/>
      <c r="F34" s="744">
        <f t="shared" si="0"/>
        <v>600</v>
      </c>
    </row>
    <row r="35" spans="1:6" ht="15.75">
      <c r="A35" s="812" t="s">
        <v>149</v>
      </c>
      <c r="B35" s="741"/>
      <c r="C35" s="739" t="s">
        <v>622</v>
      </c>
      <c r="D35" s="742">
        <v>662</v>
      </c>
      <c r="E35" s="743"/>
      <c r="F35" s="744">
        <f t="shared" si="0"/>
        <v>662</v>
      </c>
    </row>
    <row r="36" spans="1:6" ht="15.75">
      <c r="A36" s="812" t="s">
        <v>379</v>
      </c>
      <c r="B36" s="741"/>
      <c r="C36" s="739" t="s">
        <v>745</v>
      </c>
      <c r="D36" s="742">
        <v>500</v>
      </c>
      <c r="E36" s="743"/>
      <c r="F36" s="744">
        <f t="shared" si="0"/>
        <v>500</v>
      </c>
    </row>
    <row r="37" spans="1:6" ht="16.5" thickBot="1">
      <c r="A37" s="813" t="s">
        <v>150</v>
      </c>
      <c r="B37" s="796"/>
      <c r="C37" s="797" t="s">
        <v>405</v>
      </c>
      <c r="D37" s="798">
        <v>350</v>
      </c>
      <c r="E37" s="799"/>
      <c r="F37" s="800">
        <f t="shared" si="0"/>
        <v>350</v>
      </c>
    </row>
    <row r="38" spans="1:6" s="1337" customFormat="1" ht="27" customHeight="1">
      <c r="A38" s="1331" t="s">
        <v>151</v>
      </c>
      <c r="B38" s="1332"/>
      <c r="C38" s="1333" t="s">
        <v>602</v>
      </c>
      <c r="D38" s="1334">
        <v>600</v>
      </c>
      <c r="E38" s="1335"/>
      <c r="F38" s="1336">
        <f t="shared" si="0"/>
        <v>600</v>
      </c>
    </row>
    <row r="39" spans="1:6" ht="15.75">
      <c r="A39" s="812" t="s">
        <v>152</v>
      </c>
      <c r="B39" s="741"/>
      <c r="C39" s="739" t="s">
        <v>426</v>
      </c>
      <c r="D39" s="742">
        <v>1047</v>
      </c>
      <c r="E39" s="743"/>
      <c r="F39" s="744">
        <f t="shared" si="0"/>
        <v>1047</v>
      </c>
    </row>
    <row r="40" spans="1:6" ht="15.75">
      <c r="A40" s="812" t="s">
        <v>153</v>
      </c>
      <c r="B40" s="741"/>
      <c r="C40" s="739" t="s">
        <v>520</v>
      </c>
      <c r="D40" s="742">
        <f>546+500</f>
        <v>1046</v>
      </c>
      <c r="E40" s="743"/>
      <c r="F40" s="744">
        <f t="shared" si="0"/>
        <v>1046</v>
      </c>
    </row>
    <row r="41" spans="1:6" ht="15.75">
      <c r="A41" s="812" t="s">
        <v>154</v>
      </c>
      <c r="B41" s="741"/>
      <c r="C41" s="739" t="s">
        <v>746</v>
      </c>
      <c r="D41" s="742">
        <f>757+1346</f>
        <v>2103</v>
      </c>
      <c r="E41" s="743"/>
      <c r="F41" s="744">
        <f t="shared" si="0"/>
        <v>2103</v>
      </c>
    </row>
    <row r="42" spans="1:6" ht="15.75">
      <c r="A42" s="812" t="s">
        <v>155</v>
      </c>
      <c r="B42" s="741"/>
      <c r="C42" s="739" t="s">
        <v>175</v>
      </c>
      <c r="D42" s="742">
        <v>8000</v>
      </c>
      <c r="E42" s="743"/>
      <c r="F42" s="744">
        <f t="shared" si="0"/>
        <v>8000</v>
      </c>
    </row>
    <row r="43" spans="1:6" ht="11.25" customHeight="1">
      <c r="A43" s="812"/>
      <c r="B43" s="741"/>
      <c r="C43" s="739"/>
      <c r="D43" s="742"/>
      <c r="E43" s="743"/>
      <c r="F43" s="744"/>
    </row>
    <row r="44" spans="1:6" ht="15" customHeight="1">
      <c r="A44" s="812" t="s">
        <v>156</v>
      </c>
      <c r="B44" s="745" t="s">
        <v>748</v>
      </c>
      <c r="C44" s="730"/>
      <c r="D44" s="742"/>
      <c r="E44" s="743"/>
      <c r="F44" s="744"/>
    </row>
    <row r="45" spans="1:6" ht="15" customHeight="1">
      <c r="A45" s="812" t="s">
        <v>157</v>
      </c>
      <c r="B45" s="741"/>
      <c r="C45" s="739" t="s">
        <v>740</v>
      </c>
      <c r="D45" s="742">
        <f>75+1084</f>
        <v>1159</v>
      </c>
      <c r="E45" s="743"/>
      <c r="F45" s="744">
        <f t="shared" si="0"/>
        <v>1159</v>
      </c>
    </row>
    <row r="46" spans="1:6" ht="15.75">
      <c r="A46" s="812" t="s">
        <v>158</v>
      </c>
      <c r="B46" s="741"/>
      <c r="C46" s="739" t="s">
        <v>374</v>
      </c>
      <c r="D46" s="742">
        <v>146</v>
      </c>
      <c r="E46" s="743"/>
      <c r="F46" s="744">
        <f t="shared" si="0"/>
        <v>146</v>
      </c>
    </row>
    <row r="47" spans="1:6" ht="15.75">
      <c r="A47" s="812" t="s">
        <v>159</v>
      </c>
      <c r="B47" s="741"/>
      <c r="C47" s="739" t="s">
        <v>668</v>
      </c>
      <c r="D47" s="742">
        <v>127</v>
      </c>
      <c r="E47" s="743"/>
      <c r="F47" s="744">
        <f t="shared" si="0"/>
        <v>127</v>
      </c>
    </row>
    <row r="48" spans="1:6" ht="15.75">
      <c r="A48" s="812" t="s">
        <v>160</v>
      </c>
      <c r="B48" s="741"/>
      <c r="C48" s="739" t="s">
        <v>741</v>
      </c>
      <c r="D48" s="742">
        <v>149</v>
      </c>
      <c r="E48" s="743"/>
      <c r="F48" s="744">
        <f t="shared" si="0"/>
        <v>149</v>
      </c>
    </row>
    <row r="49" spans="1:6" ht="15.75">
      <c r="A49" s="812" t="s">
        <v>161</v>
      </c>
      <c r="B49" s="741"/>
      <c r="C49" s="739" t="s">
        <v>520</v>
      </c>
      <c r="D49" s="742">
        <v>575</v>
      </c>
      <c r="E49" s="743"/>
      <c r="F49" s="744">
        <f t="shared" si="0"/>
        <v>575</v>
      </c>
    </row>
    <row r="50" spans="1:6" ht="15.75">
      <c r="A50" s="812" t="s">
        <v>162</v>
      </c>
      <c r="B50" s="741"/>
      <c r="C50" s="739" t="s">
        <v>746</v>
      </c>
      <c r="D50" s="742">
        <v>533</v>
      </c>
      <c r="E50" s="743"/>
      <c r="F50" s="744">
        <f t="shared" si="0"/>
        <v>533</v>
      </c>
    </row>
    <row r="51" spans="1:6" ht="15.75">
      <c r="A51" s="812" t="s">
        <v>380</v>
      </c>
      <c r="B51" s="741"/>
      <c r="C51" s="739" t="s">
        <v>20</v>
      </c>
      <c r="D51" s="742">
        <f>1964+639</f>
        <v>2603</v>
      </c>
      <c r="E51" s="743"/>
      <c r="F51" s="744">
        <f t="shared" si="0"/>
        <v>2603</v>
      </c>
    </row>
    <row r="52" spans="1:6" ht="5.25" customHeight="1">
      <c r="A52" s="812"/>
      <c r="B52" s="741"/>
      <c r="C52" s="673"/>
      <c r="D52" s="742"/>
      <c r="E52" s="743"/>
      <c r="F52" s="744"/>
    </row>
    <row r="53" spans="1:6" ht="15" customHeight="1">
      <c r="A53" s="812" t="s">
        <v>381</v>
      </c>
      <c r="B53" s="745" t="s">
        <v>747</v>
      </c>
      <c r="C53" s="730"/>
      <c r="D53" s="742"/>
      <c r="E53" s="743"/>
      <c r="F53" s="744"/>
    </row>
    <row r="54" spans="1:6" ht="15.75">
      <c r="A54" s="812" t="s">
        <v>163</v>
      </c>
      <c r="B54" s="741"/>
      <c r="C54" s="739" t="s">
        <v>374</v>
      </c>
      <c r="D54" s="742">
        <v>254</v>
      </c>
      <c r="E54" s="743"/>
      <c r="F54" s="744">
        <f>SUM(D54:E54)</f>
        <v>254</v>
      </c>
    </row>
    <row r="55" spans="1:6" ht="6.75" customHeight="1">
      <c r="A55" s="812"/>
      <c r="B55" s="741"/>
      <c r="C55" s="673"/>
      <c r="D55" s="742"/>
      <c r="E55" s="743"/>
      <c r="F55" s="744"/>
    </row>
    <row r="56" spans="1:6" ht="15" customHeight="1">
      <c r="A56" s="812" t="s">
        <v>118</v>
      </c>
      <c r="B56" s="745" t="s">
        <v>750</v>
      </c>
      <c r="C56" s="730"/>
      <c r="D56" s="742"/>
      <c r="E56" s="743"/>
      <c r="F56" s="744"/>
    </row>
    <row r="57" spans="1:6" ht="15" customHeight="1">
      <c r="A57" s="812" t="s">
        <v>119</v>
      </c>
      <c r="B57" s="741"/>
      <c r="C57" s="739" t="s">
        <v>295</v>
      </c>
      <c r="D57" s="742">
        <v>102</v>
      </c>
      <c r="E57" s="743"/>
      <c r="F57" s="744">
        <f t="shared" si="0"/>
        <v>102</v>
      </c>
    </row>
    <row r="58" spans="1:6" ht="19.5" customHeight="1">
      <c r="A58" s="812"/>
      <c r="B58" s="741"/>
      <c r="C58" s="670"/>
      <c r="D58" s="742"/>
      <c r="E58" s="672"/>
      <c r="F58" s="744"/>
    </row>
    <row r="59" spans="1:7" ht="18.75">
      <c r="A59" s="812" t="s">
        <v>132</v>
      </c>
      <c r="B59" s="1341" t="s">
        <v>548</v>
      </c>
      <c r="C59" s="1340"/>
      <c r="D59" s="740">
        <f>SUM(D60:D71)</f>
        <v>91772.02689</v>
      </c>
      <c r="E59" s="740">
        <f>SUM(E60:E71)</f>
        <v>0</v>
      </c>
      <c r="F59" s="740">
        <f>SUM(F60:F71)</f>
        <v>91772.02689</v>
      </c>
      <c r="G59" s="675">
        <f>'[6]KIEMELT ELŐIRÁNYZATOK'!$U$208</f>
        <v>91772</v>
      </c>
    </row>
    <row r="60" spans="1:6" ht="15.75">
      <c r="A60" s="812" t="s">
        <v>133</v>
      </c>
      <c r="B60" s="741"/>
      <c r="C60" s="670" t="s">
        <v>215</v>
      </c>
      <c r="D60" s="742">
        <f>2000*1.27</f>
        <v>2540</v>
      </c>
      <c r="E60" s="743"/>
      <c r="F60" s="744">
        <f aca="true" t="shared" si="1" ref="F60:F71">SUM(D60:E60)</f>
        <v>2540</v>
      </c>
    </row>
    <row r="61" spans="1:6" ht="15" customHeight="1">
      <c r="A61" s="812" t="s">
        <v>134</v>
      </c>
      <c r="B61" s="741"/>
      <c r="C61" s="730" t="s">
        <v>1</v>
      </c>
      <c r="D61" s="742">
        <f>2283.417*1.27+290*1.27</f>
        <v>3268.23959</v>
      </c>
      <c r="E61" s="743"/>
      <c r="F61" s="744">
        <f t="shared" si="1"/>
        <v>3268.23959</v>
      </c>
    </row>
    <row r="62" spans="1:6" ht="15" customHeight="1">
      <c r="A62" s="812" t="s">
        <v>164</v>
      </c>
      <c r="B62" s="741"/>
      <c r="C62" s="751" t="s">
        <v>549</v>
      </c>
      <c r="D62" s="742">
        <f>44.646*1.27</f>
        <v>56.70042</v>
      </c>
      <c r="E62" s="743"/>
      <c r="F62" s="744">
        <f t="shared" si="1"/>
        <v>56.70042</v>
      </c>
    </row>
    <row r="63" spans="1:6" ht="15" customHeight="1">
      <c r="A63" s="812" t="s">
        <v>428</v>
      </c>
      <c r="B63" s="741"/>
      <c r="C63" s="751" t="s">
        <v>550</v>
      </c>
      <c r="D63" s="742">
        <f>500*1.27</f>
        <v>635</v>
      </c>
      <c r="E63" s="743"/>
      <c r="F63" s="744">
        <f t="shared" si="1"/>
        <v>635</v>
      </c>
    </row>
    <row r="64" spans="1:6" ht="15" customHeight="1">
      <c r="A64" s="812" t="s">
        <v>429</v>
      </c>
      <c r="B64" s="741"/>
      <c r="C64" s="730" t="s">
        <v>2</v>
      </c>
      <c r="D64" s="742">
        <f>5000*1.27</f>
        <v>6350</v>
      </c>
      <c r="E64" s="743"/>
      <c r="F64" s="744">
        <f t="shared" si="1"/>
        <v>6350</v>
      </c>
    </row>
    <row r="65" spans="1:6" ht="15" customHeight="1">
      <c r="A65" s="812" t="s">
        <v>430</v>
      </c>
      <c r="B65" s="741"/>
      <c r="C65" s="752" t="s">
        <v>756</v>
      </c>
      <c r="D65" s="742">
        <f>5000*1.27</f>
        <v>6350</v>
      </c>
      <c r="E65" s="743"/>
      <c r="F65" s="744">
        <f t="shared" si="1"/>
        <v>6350</v>
      </c>
    </row>
    <row r="66" spans="1:6" ht="15" customHeight="1">
      <c r="A66" s="812" t="s">
        <v>431</v>
      </c>
      <c r="B66" s="741"/>
      <c r="C66" s="730" t="s">
        <v>3</v>
      </c>
      <c r="D66" s="742">
        <f>5000*1.27</f>
        <v>6350</v>
      </c>
      <c r="E66" s="743"/>
      <c r="F66" s="744">
        <f t="shared" si="1"/>
        <v>6350</v>
      </c>
    </row>
    <row r="67" spans="1:6" ht="15" customHeight="1">
      <c r="A67" s="812" t="s">
        <v>432</v>
      </c>
      <c r="B67" s="741"/>
      <c r="C67" s="730" t="s">
        <v>755</v>
      </c>
      <c r="D67" s="742">
        <v>5429.25</v>
      </c>
      <c r="E67" s="743"/>
      <c r="F67" s="744">
        <f t="shared" si="1"/>
        <v>5429.25</v>
      </c>
    </row>
    <row r="68" spans="1:6" ht="15.75">
      <c r="A68" s="812" t="s">
        <v>135</v>
      </c>
      <c r="B68" s="741"/>
      <c r="C68" s="751" t="s">
        <v>214</v>
      </c>
      <c r="D68" s="742">
        <f>15024.08*1.27</f>
        <v>19080.5816</v>
      </c>
      <c r="E68" s="743"/>
      <c r="F68" s="744">
        <f t="shared" si="1"/>
        <v>19080.5816</v>
      </c>
    </row>
    <row r="69" spans="1:6" ht="15" customHeight="1">
      <c r="A69" s="812" t="s">
        <v>136</v>
      </c>
      <c r="B69" s="741"/>
      <c r="C69" s="751" t="s">
        <v>551</v>
      </c>
      <c r="D69" s="742">
        <f>12096.264*1.27</f>
        <v>15362.25528</v>
      </c>
      <c r="E69" s="743"/>
      <c r="F69" s="744">
        <f t="shared" si="1"/>
        <v>15362.25528</v>
      </c>
    </row>
    <row r="70" spans="1:6" ht="15" customHeight="1">
      <c r="A70" s="812" t="s">
        <v>120</v>
      </c>
      <c r="B70" s="741"/>
      <c r="C70" s="751" t="s">
        <v>754</v>
      </c>
      <c r="D70" s="742">
        <v>20000</v>
      </c>
      <c r="E70" s="743"/>
      <c r="F70" s="744">
        <f t="shared" si="1"/>
        <v>20000</v>
      </c>
    </row>
    <row r="71" spans="1:6" ht="31.5">
      <c r="A71" s="812" t="s">
        <v>433</v>
      </c>
      <c r="B71" s="741"/>
      <c r="C71" s="752" t="s">
        <v>0</v>
      </c>
      <c r="D71" s="742">
        <f>5000*1.27</f>
        <v>6350</v>
      </c>
      <c r="E71" s="743"/>
      <c r="F71" s="744">
        <f t="shared" si="1"/>
        <v>6350</v>
      </c>
    </row>
    <row r="72" spans="1:6" ht="10.5" customHeight="1" thickBot="1">
      <c r="A72" s="813"/>
      <c r="B72" s="796"/>
      <c r="C72" s="677"/>
      <c r="D72" s="798"/>
      <c r="E72" s="678"/>
      <c r="F72" s="800"/>
    </row>
    <row r="73" spans="1:6" ht="4.5" customHeight="1" hidden="1">
      <c r="A73" s="812"/>
      <c r="B73" s="741"/>
      <c r="C73" s="670"/>
      <c r="D73" s="742"/>
      <c r="E73" s="672"/>
      <c r="F73" s="744"/>
    </row>
    <row r="74" spans="1:6" s="670" customFormat="1" ht="15.75">
      <c r="A74" s="814"/>
      <c r="B74" s="651"/>
      <c r="C74" s="651"/>
      <c r="D74" s="742"/>
      <c r="F74" s="784"/>
    </row>
    <row r="75" spans="1:6" s="804" customFormat="1" ht="18.75">
      <c r="A75" s="812" t="s">
        <v>121</v>
      </c>
      <c r="B75" s="819" t="s">
        <v>552</v>
      </c>
      <c r="C75" s="802"/>
      <c r="D75" s="803">
        <f>SUM(D76:D140)</f>
        <v>2018565.34879</v>
      </c>
      <c r="E75" s="803">
        <f>SUM(E76:E140)</f>
        <v>630060</v>
      </c>
      <c r="F75" s="803">
        <f>SUM(F76:F140)</f>
        <v>2648625.34879</v>
      </c>
    </row>
    <row r="76" spans="1:6" s="1165" customFormat="1" ht="18.75" customHeight="1">
      <c r="A76" s="812" t="s">
        <v>434</v>
      </c>
      <c r="B76" s="1177" t="s">
        <v>875</v>
      </c>
      <c r="C76" s="785"/>
      <c r="D76" s="784"/>
      <c r="E76" s="786"/>
      <c r="F76" s="744"/>
    </row>
    <row r="77" spans="1:6" s="670" customFormat="1" ht="15.75">
      <c r="A77" s="812" t="s">
        <v>435</v>
      </c>
      <c r="B77" s="779"/>
      <c r="C77" s="751" t="s">
        <v>371</v>
      </c>
      <c r="D77" s="742">
        <f>10000*1.27</f>
        <v>12700</v>
      </c>
      <c r="E77" s="672"/>
      <c r="F77" s="744">
        <f aca="true" t="shared" si="2" ref="F77:F139">SUM(D77:E77)</f>
        <v>12700</v>
      </c>
    </row>
    <row r="78" spans="1:6" s="670" customFormat="1" ht="15.75">
      <c r="A78" s="812" t="s">
        <v>436</v>
      </c>
      <c r="B78" s="779"/>
      <c r="C78" s="751" t="s">
        <v>9</v>
      </c>
      <c r="D78" s="742">
        <f>29455.38*1.27</f>
        <v>37408.3326</v>
      </c>
      <c r="E78" s="672"/>
      <c r="F78" s="744">
        <f t="shared" si="2"/>
        <v>37408.3326</v>
      </c>
    </row>
    <row r="79" spans="1:6" s="670" customFormat="1" ht="15.75">
      <c r="A79" s="812" t="s">
        <v>125</v>
      </c>
      <c r="B79" s="779"/>
      <c r="C79" s="751" t="s">
        <v>11</v>
      </c>
      <c r="D79" s="742">
        <f>29429.912*1.27</f>
        <v>37375.98824</v>
      </c>
      <c r="E79" s="672"/>
      <c r="F79" s="744">
        <f t="shared" si="2"/>
        <v>37375.98824</v>
      </c>
    </row>
    <row r="80" spans="1:6" ht="15.75">
      <c r="A80" s="812" t="s">
        <v>437</v>
      </c>
      <c r="B80" s="779"/>
      <c r="C80" s="730" t="s">
        <v>221</v>
      </c>
      <c r="D80" s="742">
        <f>5700*1.27</f>
        <v>7239</v>
      </c>
      <c r="E80" s="672"/>
      <c r="F80" s="744">
        <f t="shared" si="2"/>
        <v>7239</v>
      </c>
    </row>
    <row r="81" spans="1:6" s="1178" customFormat="1" ht="15.75">
      <c r="A81" s="812" t="s">
        <v>438</v>
      </c>
      <c r="B81" s="779"/>
      <c r="C81" s="730" t="s">
        <v>769</v>
      </c>
      <c r="D81" s="787">
        <f>11810.983*1.27</f>
        <v>14999.94841</v>
      </c>
      <c r="E81" s="788"/>
      <c r="F81" s="744">
        <f t="shared" si="2"/>
        <v>14999.94841</v>
      </c>
    </row>
    <row r="82" spans="1:6" ht="15.75">
      <c r="A82" s="812" t="s">
        <v>126</v>
      </c>
      <c r="B82" s="779"/>
      <c r="C82" s="730" t="s">
        <v>388</v>
      </c>
      <c r="D82" s="742">
        <f>3855*1.27</f>
        <v>4895.85</v>
      </c>
      <c r="E82" s="672"/>
      <c r="F82" s="744">
        <f t="shared" si="2"/>
        <v>4895.85</v>
      </c>
    </row>
    <row r="83" spans="1:6" ht="15.75" customHeight="1">
      <c r="A83" s="812" t="s">
        <v>439</v>
      </c>
      <c r="B83" s="779"/>
      <c r="C83" s="730" t="s">
        <v>106</v>
      </c>
      <c r="D83" s="742">
        <f>2994.516*1.27</f>
        <v>3803.03532</v>
      </c>
      <c r="E83" s="672"/>
      <c r="F83" s="744">
        <f t="shared" si="2"/>
        <v>3803.03532</v>
      </c>
    </row>
    <row r="84" spans="1:6" ht="15.75" customHeight="1">
      <c r="A84" s="812" t="s">
        <v>440</v>
      </c>
      <c r="B84" s="779"/>
      <c r="C84" s="730" t="s">
        <v>13</v>
      </c>
      <c r="D84" s="742">
        <f>6338.4*1.27</f>
        <v>8049.768</v>
      </c>
      <c r="E84" s="672"/>
      <c r="F84" s="744">
        <f t="shared" si="2"/>
        <v>8049.768</v>
      </c>
    </row>
    <row r="85" spans="1:6" ht="15.75" customHeight="1">
      <c r="A85" s="812" t="s">
        <v>441</v>
      </c>
      <c r="B85" s="779"/>
      <c r="C85" s="730" t="s">
        <v>768</v>
      </c>
      <c r="D85" s="742">
        <f>26390.5*1.27</f>
        <v>33515.935</v>
      </c>
      <c r="E85" s="672"/>
      <c r="F85" s="744">
        <f t="shared" si="2"/>
        <v>33515.935</v>
      </c>
    </row>
    <row r="86" spans="1:6" s="670" customFormat="1" ht="15.75" customHeight="1">
      <c r="A86" s="812" t="s">
        <v>127</v>
      </c>
      <c r="B86" s="779"/>
      <c r="C86" s="730" t="s">
        <v>770</v>
      </c>
      <c r="D86" s="742">
        <f>10000*1.27</f>
        <v>12700</v>
      </c>
      <c r="E86" s="672"/>
      <c r="F86" s="744">
        <f t="shared" si="2"/>
        <v>12700</v>
      </c>
    </row>
    <row r="87" spans="1:6" ht="22.5" customHeight="1">
      <c r="A87" s="812"/>
      <c r="B87" s="779"/>
      <c r="C87" s="730"/>
      <c r="D87" s="742"/>
      <c r="E87" s="672"/>
      <c r="F87" s="744"/>
    </row>
    <row r="88" spans="1:6" ht="15.75" customHeight="1">
      <c r="A88" s="812" t="s">
        <v>442</v>
      </c>
      <c r="B88" s="746" t="s">
        <v>213</v>
      </c>
      <c r="C88" s="790"/>
      <c r="D88" s="742"/>
      <c r="E88" s="672"/>
      <c r="F88" s="744"/>
    </row>
    <row r="89" spans="1:6" s="1179" customFormat="1" ht="15.75">
      <c r="A89" s="812" t="s">
        <v>443</v>
      </c>
      <c r="B89" s="778"/>
      <c r="C89" s="791" t="s">
        <v>212</v>
      </c>
      <c r="D89" s="686"/>
      <c r="E89" s="685">
        <v>150000</v>
      </c>
      <c r="F89" s="744">
        <f>SUM(D89:E89)</f>
        <v>150000</v>
      </c>
    </row>
    <row r="90" spans="1:6" s="1179" customFormat="1" ht="15.75">
      <c r="A90" s="812" t="s">
        <v>444</v>
      </c>
      <c r="B90" s="778"/>
      <c r="C90" s="791" t="s">
        <v>771</v>
      </c>
      <c r="D90" s="686">
        <f>2900.2*1.27</f>
        <v>3683.254</v>
      </c>
      <c r="E90" s="685"/>
      <c r="F90" s="744">
        <f>SUM(D90:E90)</f>
        <v>3683.254</v>
      </c>
    </row>
    <row r="91" spans="1:6" s="670" customFormat="1" ht="21" customHeight="1">
      <c r="A91" s="812"/>
      <c r="B91" s="779"/>
      <c r="D91" s="742"/>
      <c r="E91" s="672"/>
      <c r="F91" s="744"/>
    </row>
    <row r="92" spans="1:6" ht="15.75">
      <c r="A92" s="812" t="s">
        <v>445</v>
      </c>
      <c r="B92" s="745" t="s">
        <v>216</v>
      </c>
      <c r="C92" s="775"/>
      <c r="D92" s="742"/>
      <c r="E92" s="672"/>
      <c r="F92" s="744"/>
    </row>
    <row r="93" spans="1:6" ht="31.5">
      <c r="A93" s="814" t="s">
        <v>446</v>
      </c>
      <c r="B93" s="745"/>
      <c r="C93" s="720" t="s">
        <v>725</v>
      </c>
      <c r="D93" s="742"/>
      <c r="E93" s="672">
        <v>18505</v>
      </c>
      <c r="F93" s="744">
        <f t="shared" si="2"/>
        <v>18505</v>
      </c>
    </row>
    <row r="94" spans="1:6" s="670" customFormat="1" ht="15.75">
      <c r="A94" s="812"/>
      <c r="B94" s="779"/>
      <c r="C94" s="776"/>
      <c r="D94" s="742"/>
      <c r="E94" s="672"/>
      <c r="F94" s="744"/>
    </row>
    <row r="95" spans="1:6" s="1180" customFormat="1" ht="15.75">
      <c r="A95" s="812" t="s">
        <v>447</v>
      </c>
      <c r="B95" s="741" t="s">
        <v>876</v>
      </c>
      <c r="C95" s="792"/>
      <c r="D95" s="793"/>
      <c r="E95" s="794"/>
      <c r="F95" s="744"/>
    </row>
    <row r="96" spans="1:6" ht="15.75">
      <c r="A96" s="812" t="s">
        <v>448</v>
      </c>
      <c r="B96" s="779"/>
      <c r="C96" s="730" t="s">
        <v>165</v>
      </c>
      <c r="D96" s="742">
        <f>5997.381*1.27</f>
        <v>7616.6738700000005</v>
      </c>
      <c r="E96" s="672"/>
      <c r="F96" s="744">
        <f t="shared" si="2"/>
        <v>7616.6738700000005</v>
      </c>
    </row>
    <row r="97" spans="1:6" ht="15.75">
      <c r="A97" s="812" t="s">
        <v>449</v>
      </c>
      <c r="B97" s="779"/>
      <c r="C97" s="751" t="s">
        <v>371</v>
      </c>
      <c r="D97" s="742">
        <f>34000*1.27</f>
        <v>43180</v>
      </c>
      <c r="E97" s="672"/>
      <c r="F97" s="744">
        <f t="shared" si="2"/>
        <v>43180</v>
      </c>
    </row>
    <row r="98" spans="1:6" ht="15.75">
      <c r="A98" s="812" t="s">
        <v>450</v>
      </c>
      <c r="B98" s="779"/>
      <c r="C98" s="730" t="s">
        <v>10</v>
      </c>
      <c r="D98" s="742">
        <f>10000*1.27</f>
        <v>12700</v>
      </c>
      <c r="E98" s="672"/>
      <c r="F98" s="744">
        <f t="shared" si="2"/>
        <v>12700</v>
      </c>
    </row>
    <row r="99" spans="1:6" ht="15.75">
      <c r="A99" s="812" t="s">
        <v>451</v>
      </c>
      <c r="B99" s="779"/>
      <c r="C99" s="730" t="s">
        <v>12</v>
      </c>
      <c r="D99" s="742">
        <f>463.81*1.27</f>
        <v>589.0387000000001</v>
      </c>
      <c r="E99" s="672"/>
      <c r="F99" s="744">
        <f t="shared" si="2"/>
        <v>589.0387000000001</v>
      </c>
    </row>
    <row r="100" spans="1:6" ht="15.75">
      <c r="A100" s="812" t="s">
        <v>522</v>
      </c>
      <c r="B100" s="779"/>
      <c r="C100" s="730" t="s">
        <v>388</v>
      </c>
      <c r="D100" s="742">
        <f>12250*1.27</f>
        <v>15557.5</v>
      </c>
      <c r="E100" s="672"/>
      <c r="F100" s="744">
        <f t="shared" si="2"/>
        <v>15557.5</v>
      </c>
    </row>
    <row r="101" spans="1:6" ht="15.75">
      <c r="A101" s="812" t="s">
        <v>523</v>
      </c>
      <c r="B101" s="779"/>
      <c r="C101" s="729" t="s">
        <v>775</v>
      </c>
      <c r="D101" s="742">
        <f>66929.134*1.27</f>
        <v>85000.00018</v>
      </c>
      <c r="E101" s="672"/>
      <c r="F101" s="744">
        <f t="shared" si="2"/>
        <v>85000.00018</v>
      </c>
    </row>
    <row r="102" spans="1:6" ht="15.75">
      <c r="A102" s="812" t="s">
        <v>524</v>
      </c>
      <c r="B102" s="779"/>
      <c r="C102" s="729" t="s">
        <v>776</v>
      </c>
      <c r="D102" s="742">
        <f>62992.126*1.27</f>
        <v>80000.00001999999</v>
      </c>
      <c r="E102" s="672"/>
      <c r="F102" s="744">
        <f t="shared" si="2"/>
        <v>80000.00001999999</v>
      </c>
    </row>
    <row r="103" spans="1:6" ht="15.75">
      <c r="A103" s="812" t="s">
        <v>287</v>
      </c>
      <c r="B103" s="779"/>
      <c r="C103" s="729" t="s">
        <v>777</v>
      </c>
      <c r="D103" s="742">
        <v>19259.025</v>
      </c>
      <c r="E103" s="672"/>
      <c r="F103" s="744">
        <f t="shared" si="2"/>
        <v>19259.025</v>
      </c>
    </row>
    <row r="104" spans="1:6" s="1178" customFormat="1" ht="15.75">
      <c r="A104" s="812" t="s">
        <v>288</v>
      </c>
      <c r="B104" s="779"/>
      <c r="C104" s="805" t="s">
        <v>778</v>
      </c>
      <c r="D104" s="787">
        <f>67716.535*1.27</f>
        <v>85999.99945</v>
      </c>
      <c r="E104" s="788"/>
      <c r="F104" s="806">
        <f t="shared" si="2"/>
        <v>85999.99945</v>
      </c>
    </row>
    <row r="105" spans="1:6" s="670" customFormat="1" ht="31.5">
      <c r="A105" s="812" t="s">
        <v>269</v>
      </c>
      <c r="B105" s="779"/>
      <c r="C105" s="751" t="s">
        <v>18</v>
      </c>
      <c r="D105" s="742"/>
      <c r="E105" s="672">
        <v>856</v>
      </c>
      <c r="F105" s="744">
        <f t="shared" si="2"/>
        <v>856</v>
      </c>
    </row>
    <row r="106" spans="1:6" ht="9.75" customHeight="1" thickBot="1">
      <c r="A106" s="813"/>
      <c r="B106" s="1223"/>
      <c r="C106" s="1224"/>
      <c r="D106" s="798"/>
      <c r="E106" s="678"/>
      <c r="F106" s="800"/>
    </row>
    <row r="107" spans="1:6" s="1337" customFormat="1" ht="27.75" customHeight="1">
      <c r="A107" s="1331" t="s">
        <v>270</v>
      </c>
      <c r="B107" s="1332" t="s">
        <v>780</v>
      </c>
      <c r="C107" s="1338"/>
      <c r="D107" s="1334"/>
      <c r="E107" s="1339"/>
      <c r="F107" s="1336"/>
    </row>
    <row r="108" spans="1:6" ht="15.75">
      <c r="A108" s="812" t="s">
        <v>273</v>
      </c>
      <c r="B108" s="779"/>
      <c r="C108" s="751" t="s">
        <v>781</v>
      </c>
      <c r="D108" s="742">
        <v>57000</v>
      </c>
      <c r="E108" s="670"/>
      <c r="F108" s="744">
        <f t="shared" si="2"/>
        <v>57000</v>
      </c>
    </row>
    <row r="109" spans="1:6" ht="15.75">
      <c r="A109" s="812" t="s">
        <v>274</v>
      </c>
      <c r="B109" s="779"/>
      <c r="C109" s="730" t="s">
        <v>935</v>
      </c>
      <c r="D109" s="742">
        <v>333000</v>
      </c>
      <c r="E109" s="670"/>
      <c r="F109" s="744">
        <f t="shared" si="2"/>
        <v>333000</v>
      </c>
    </row>
    <row r="110" spans="1:6" ht="11.25" customHeight="1">
      <c r="A110" s="812"/>
      <c r="B110" s="779"/>
      <c r="C110" s="751"/>
      <c r="D110" s="742"/>
      <c r="E110" s="670"/>
      <c r="F110" s="744"/>
    </row>
    <row r="111" spans="1:6" s="670" customFormat="1" ht="15.75">
      <c r="A111" s="812" t="s">
        <v>782</v>
      </c>
      <c r="B111" s="750" t="s">
        <v>763</v>
      </c>
      <c r="C111" s="780"/>
      <c r="D111" s="742"/>
      <c r="E111" s="672"/>
      <c r="F111" s="744"/>
    </row>
    <row r="112" spans="1:6" s="670" customFormat="1" ht="15.75">
      <c r="A112" s="812" t="s">
        <v>783</v>
      </c>
      <c r="C112" s="729" t="s">
        <v>764</v>
      </c>
      <c r="D112" s="742">
        <v>76200</v>
      </c>
      <c r="E112" s="672"/>
      <c r="F112" s="744">
        <f t="shared" si="2"/>
        <v>76200</v>
      </c>
    </row>
    <row r="113" spans="1:6" s="670" customFormat="1" ht="11.25" customHeight="1">
      <c r="A113" s="812"/>
      <c r="C113" s="727"/>
      <c r="D113" s="742"/>
      <c r="E113" s="672"/>
      <c r="F113" s="744"/>
    </row>
    <row r="114" spans="1:6" s="670" customFormat="1" ht="15.75">
      <c r="A114" s="812" t="s">
        <v>784</v>
      </c>
      <c r="B114" s="750" t="s">
        <v>131</v>
      </c>
      <c r="D114" s="742"/>
      <c r="F114" s="744"/>
    </row>
    <row r="115" spans="1:6" s="670" customFormat="1" ht="15.75">
      <c r="A115" s="812" t="s">
        <v>785</v>
      </c>
      <c r="C115" s="752" t="s">
        <v>8</v>
      </c>
      <c r="D115" s="742"/>
      <c r="E115" s="670">
        <v>205000</v>
      </c>
      <c r="F115" s="744">
        <f t="shared" si="2"/>
        <v>205000</v>
      </c>
    </row>
    <row r="116" spans="1:6" s="670" customFormat="1" ht="15.75">
      <c r="A116" s="812" t="s">
        <v>786</v>
      </c>
      <c r="C116" s="720" t="s">
        <v>868</v>
      </c>
      <c r="D116" s="742">
        <f>20000*1.27</f>
        <v>25400</v>
      </c>
      <c r="F116" s="744">
        <f t="shared" si="2"/>
        <v>25400</v>
      </c>
    </row>
    <row r="117" spans="1:6" s="670" customFormat="1" ht="15.75">
      <c r="A117" s="812" t="s">
        <v>787</v>
      </c>
      <c r="C117" s="752" t="s">
        <v>767</v>
      </c>
      <c r="D117" s="742">
        <v>20000</v>
      </c>
      <c r="F117" s="744">
        <f t="shared" si="2"/>
        <v>20000</v>
      </c>
    </row>
    <row r="118" spans="1:6" s="670" customFormat="1" ht="9" customHeight="1">
      <c r="A118" s="812"/>
      <c r="C118" s="752"/>
      <c r="D118" s="742"/>
      <c r="F118" s="744"/>
    </row>
    <row r="119" spans="1:6" s="750" customFormat="1" ht="15.75">
      <c r="A119" s="815" t="s">
        <v>788</v>
      </c>
      <c r="B119" s="750" t="s">
        <v>765</v>
      </c>
      <c r="C119" s="783"/>
      <c r="D119" s="1181"/>
      <c r="F119" s="744"/>
    </row>
    <row r="120" spans="1:6" s="670" customFormat="1" ht="15.75">
      <c r="A120" s="812" t="s">
        <v>789</v>
      </c>
      <c r="C120" s="720" t="s">
        <v>766</v>
      </c>
      <c r="D120" s="742">
        <v>4000</v>
      </c>
      <c r="F120" s="784">
        <f t="shared" si="2"/>
        <v>4000</v>
      </c>
    </row>
    <row r="121" spans="1:6" ht="25.5" customHeight="1">
      <c r="A121" s="812" t="s">
        <v>790</v>
      </c>
      <c r="B121" s="741" t="s">
        <v>5</v>
      </c>
      <c r="C121" s="670"/>
      <c r="D121" s="742"/>
      <c r="E121" s="672"/>
      <c r="F121" s="744"/>
    </row>
    <row r="122" spans="1:6" ht="31.5">
      <c r="A122" s="814" t="s">
        <v>791</v>
      </c>
      <c r="B122" s="741"/>
      <c r="C122" s="776" t="s">
        <v>628</v>
      </c>
      <c r="D122" s="742">
        <v>398907</v>
      </c>
      <c r="E122" s="672"/>
      <c r="F122" s="744">
        <f t="shared" si="2"/>
        <v>398907</v>
      </c>
    </row>
    <row r="123" spans="1:6" ht="15.75">
      <c r="A123" s="814" t="s">
        <v>792</v>
      </c>
      <c r="B123" s="741"/>
      <c r="C123" s="776" t="s">
        <v>217</v>
      </c>
      <c r="D123" s="742">
        <v>94091</v>
      </c>
      <c r="E123" s="672"/>
      <c r="F123" s="744">
        <f t="shared" si="2"/>
        <v>94091</v>
      </c>
    </row>
    <row r="124" spans="1:6" ht="15.75">
      <c r="A124" s="814" t="s">
        <v>793</v>
      </c>
      <c r="B124" s="741"/>
      <c r="C124" s="776" t="s">
        <v>218</v>
      </c>
      <c r="D124" s="742">
        <v>31860</v>
      </c>
      <c r="E124" s="672"/>
      <c r="F124" s="744">
        <f t="shared" si="2"/>
        <v>31860</v>
      </c>
    </row>
    <row r="125" spans="1:6" ht="15.75">
      <c r="A125" s="814" t="s">
        <v>794</v>
      </c>
      <c r="B125" s="741"/>
      <c r="C125" s="777" t="s">
        <v>4</v>
      </c>
      <c r="D125" s="742">
        <v>19412</v>
      </c>
      <c r="E125" s="672"/>
      <c r="F125" s="744">
        <f t="shared" si="2"/>
        <v>19412</v>
      </c>
    </row>
    <row r="126" spans="1:6" ht="15.75">
      <c r="A126" s="814" t="s">
        <v>795</v>
      </c>
      <c r="B126" s="741"/>
      <c r="C126" s="729" t="s">
        <v>758</v>
      </c>
      <c r="D126" s="742">
        <v>8778</v>
      </c>
      <c r="E126" s="672"/>
      <c r="F126" s="744">
        <f t="shared" si="2"/>
        <v>8778</v>
      </c>
    </row>
    <row r="127" spans="1:6" ht="15.75">
      <c r="A127" s="814" t="s">
        <v>796</v>
      </c>
      <c r="B127" s="741"/>
      <c r="C127" s="729" t="s">
        <v>761</v>
      </c>
      <c r="D127" s="742">
        <v>53849</v>
      </c>
      <c r="E127" s="672"/>
      <c r="F127" s="744">
        <f t="shared" si="2"/>
        <v>53849</v>
      </c>
    </row>
    <row r="128" spans="1:6" ht="15.75">
      <c r="A128" s="814" t="s">
        <v>797</v>
      </c>
      <c r="B128" s="741"/>
      <c r="C128" s="729" t="s">
        <v>759</v>
      </c>
      <c r="D128" s="742">
        <v>188960</v>
      </c>
      <c r="E128" s="672"/>
      <c r="F128" s="744">
        <f t="shared" si="2"/>
        <v>188960</v>
      </c>
    </row>
    <row r="129" spans="1:6" ht="15.75">
      <c r="A129" s="814" t="s">
        <v>798</v>
      </c>
      <c r="B129" s="741"/>
      <c r="C129" s="730" t="s">
        <v>6</v>
      </c>
      <c r="D129" s="742"/>
      <c r="E129" s="672">
        <v>227699</v>
      </c>
      <c r="F129" s="744">
        <f t="shared" si="2"/>
        <v>227699</v>
      </c>
    </row>
    <row r="130" spans="1:6" ht="12" customHeight="1">
      <c r="A130" s="814"/>
      <c r="B130" s="741"/>
      <c r="C130" s="730"/>
      <c r="D130" s="742"/>
      <c r="E130" s="672"/>
      <c r="F130" s="744"/>
    </row>
    <row r="131" spans="1:6" ht="15.75">
      <c r="A131" s="814" t="s">
        <v>799</v>
      </c>
      <c r="B131" s="741" t="s">
        <v>751</v>
      </c>
      <c r="C131" s="730"/>
      <c r="D131" s="742"/>
      <c r="E131" s="672"/>
      <c r="F131" s="744"/>
    </row>
    <row r="132" spans="1:6" ht="15" customHeight="1">
      <c r="A132" s="814" t="s">
        <v>800</v>
      </c>
      <c r="B132" s="781"/>
      <c r="C132" s="782" t="s">
        <v>7</v>
      </c>
      <c r="D132" s="742"/>
      <c r="E132" s="672">
        <v>20000</v>
      </c>
      <c r="F132" s="744">
        <f>SUM(D132:E132)</f>
        <v>20000</v>
      </c>
    </row>
    <row r="133" spans="1:6" ht="15" customHeight="1">
      <c r="A133" s="814" t="s">
        <v>801</v>
      </c>
      <c r="B133" s="781"/>
      <c r="C133" s="729" t="s">
        <v>732</v>
      </c>
      <c r="D133" s="742"/>
      <c r="E133" s="672">
        <v>8000</v>
      </c>
      <c r="F133" s="744">
        <f>SUM(D133:E133)</f>
        <v>8000</v>
      </c>
    </row>
    <row r="134" spans="1:6" s="670" customFormat="1" ht="9.75" customHeight="1">
      <c r="A134" s="814"/>
      <c r="B134" s="651"/>
      <c r="C134" s="1166"/>
      <c r="D134" s="742"/>
      <c r="E134" s="672"/>
      <c r="F134" s="744"/>
    </row>
    <row r="135" spans="1:6" ht="15.75">
      <c r="A135" s="812" t="s">
        <v>802</v>
      </c>
      <c r="B135" s="741" t="s">
        <v>272</v>
      </c>
      <c r="C135" s="730"/>
      <c r="D135" s="742"/>
      <c r="E135" s="672"/>
      <c r="F135" s="744"/>
    </row>
    <row r="136" spans="1:6" ht="15.75">
      <c r="A136" s="814" t="s">
        <v>803</v>
      </c>
      <c r="B136" s="741"/>
      <c r="C136" s="729" t="s">
        <v>220</v>
      </c>
      <c r="D136" s="742">
        <v>180200</v>
      </c>
      <c r="E136" s="672"/>
      <c r="F136" s="744">
        <f t="shared" si="2"/>
        <v>180200</v>
      </c>
    </row>
    <row r="137" spans="1:6" ht="15.75">
      <c r="A137" s="814"/>
      <c r="B137" s="741"/>
      <c r="C137" s="776"/>
      <c r="D137" s="742"/>
      <c r="E137" s="672"/>
      <c r="F137" s="744"/>
    </row>
    <row r="138" spans="1:6" ht="15.75">
      <c r="A138" s="814" t="s">
        <v>804</v>
      </c>
      <c r="B138" s="741" t="s">
        <v>219</v>
      </c>
      <c r="C138" s="776"/>
      <c r="D138" s="742"/>
      <c r="E138" s="672"/>
      <c r="F138" s="744"/>
    </row>
    <row r="139" spans="1:6" ht="15.75">
      <c r="A139" s="814" t="s">
        <v>936</v>
      </c>
      <c r="B139" s="741"/>
      <c r="C139" s="720" t="s">
        <v>762</v>
      </c>
      <c r="D139" s="742">
        <v>635</v>
      </c>
      <c r="E139" s="672"/>
      <c r="F139" s="744">
        <f t="shared" si="2"/>
        <v>635</v>
      </c>
    </row>
    <row r="140" spans="1:6" s="670" customFormat="1" ht="3" customHeight="1" thickBot="1">
      <c r="A140" s="812"/>
      <c r="B140" s="779"/>
      <c r="D140" s="742"/>
      <c r="E140" s="672"/>
      <c r="F140" s="744"/>
    </row>
    <row r="141" spans="1:6" s="1172" customFormat="1" ht="29.25" customHeight="1" thickBot="1">
      <c r="A141" s="816" t="s">
        <v>937</v>
      </c>
      <c r="B141" s="1169" t="s">
        <v>358</v>
      </c>
      <c r="C141" s="1170"/>
      <c r="D141" s="1171">
        <f>SUM(D10,D59,D75)</f>
        <v>2163156.37568</v>
      </c>
      <c r="E141" s="1171">
        <f>SUM(E10,E59,E75)</f>
        <v>630060</v>
      </c>
      <c r="F141" s="1171">
        <f>SUM(F10,F59,F75)</f>
        <v>2793216.37568</v>
      </c>
    </row>
    <row r="142" spans="1:6" ht="15.75">
      <c r="A142" s="808"/>
      <c r="B142" s="779"/>
      <c r="C142" s="670"/>
      <c r="D142" s="675">
        <f>(SUM(D10:D141))/3</f>
        <v>2163156.37568</v>
      </c>
      <c r="E142" s="675">
        <f>(SUM(E10:E141))/3</f>
        <v>630060</v>
      </c>
      <c r="F142" s="675">
        <f>(SUM(F10:F141))/3</f>
        <v>2793216.37568</v>
      </c>
    </row>
    <row r="143" spans="1:6" ht="15.75">
      <c r="A143" s="808"/>
      <c r="B143" s="779"/>
      <c r="C143" s="720"/>
      <c r="D143" s="675">
        <f>SUM(D76:D140,D60:D74,D12:D58)</f>
        <v>2163156.3756799996</v>
      </c>
      <c r="E143" s="675">
        <f>SUM(E76:E140,E60:E74,E12:E58)</f>
        <v>630060</v>
      </c>
      <c r="F143" s="675">
        <f>SUM(F76:F140,F60:F74,F12:F58)</f>
        <v>2793216.3756800005</v>
      </c>
    </row>
    <row r="144" spans="1:6" ht="15.75">
      <c r="A144" s="808"/>
      <c r="B144" s="779"/>
      <c r="C144" s="670">
        <f>E141+felújítás!E52</f>
        <v>630060</v>
      </c>
      <c r="D144" s="675">
        <f>D141-D143</f>
        <v>0</v>
      </c>
      <c r="E144" s="675">
        <f>E141-E143</f>
        <v>0</v>
      </c>
      <c r="F144" s="675">
        <f>F141-F143</f>
        <v>0</v>
      </c>
    </row>
    <row r="145" spans="4:6" ht="15.75">
      <c r="D145" s="675">
        <f>D141-D142</f>
        <v>0</v>
      </c>
      <c r="E145" s="675">
        <f>E141-E142</f>
        <v>0</v>
      </c>
      <c r="F145" s="675">
        <f>F141-F142</f>
        <v>0</v>
      </c>
    </row>
    <row r="146" spans="4:5" ht="15.75">
      <c r="D146" s="675">
        <f>'[7]KIEMELT ELŐIRÁNYZATOK'!$U$32</f>
        <v>2163155.69</v>
      </c>
      <c r="E146" s="675">
        <f>'[3]KIEMELT ELŐIRÁNYZATOK'!$U$41</f>
        <v>630060</v>
      </c>
    </row>
    <row r="147" spans="4:5" ht="15.75">
      <c r="D147" s="675">
        <f>D141-D146</f>
        <v>0.6856800001114607</v>
      </c>
      <c r="E147" s="675">
        <f>E141+felújítás!E52</f>
        <v>630060</v>
      </c>
    </row>
    <row r="148" ht="15.75">
      <c r="E148" s="675">
        <f>E146-E147</f>
        <v>0</v>
      </c>
    </row>
    <row r="149" ht="15.75">
      <c r="E149" s="675">
        <f>céltartalék!C73/1000</f>
        <v>0</v>
      </c>
    </row>
    <row r="151" spans="4:6" ht="15.75">
      <c r="D151" s="675">
        <f>'[7]KIEMELT ELŐIRÁNYZATOK'!$U$32</f>
        <v>2163155.69</v>
      </c>
      <c r="E151" s="675">
        <f>SUM('[6]KIEMELT ELŐIRÁNYZATOK'!$U$41)</f>
        <v>630060</v>
      </c>
      <c r="F151" s="1161">
        <f>SUM(D151:E151)</f>
        <v>2793215.69</v>
      </c>
    </row>
    <row r="152" spans="4:6" ht="15.75">
      <c r="D152" s="675">
        <f>D151-D141</f>
        <v>-0.6856800001114607</v>
      </c>
      <c r="E152" s="675">
        <f>E151-E141</f>
        <v>0</v>
      </c>
      <c r="F152" s="675">
        <f>F151-F141</f>
        <v>-0.6856800001114607</v>
      </c>
    </row>
  </sheetData>
  <sheetProtection/>
  <mergeCells count="8">
    <mergeCell ref="B10:C10"/>
    <mergeCell ref="E1:F1"/>
    <mergeCell ref="B9:C9"/>
    <mergeCell ref="E2:F2"/>
    <mergeCell ref="A4:F4"/>
    <mergeCell ref="E7:F7"/>
    <mergeCell ref="A6:F6"/>
    <mergeCell ref="B8:C8"/>
  </mergeCells>
  <printOptions horizontalCentered="1"/>
  <pageMargins left="0.1968503937007874" right="0.1968503937007874" top="0.39" bottom="0.2" header="0.35" footer="0.49"/>
  <pageSetup horizontalDpi="600" verticalDpi="600" orientation="landscape" paperSize="9" scale="86" r:id="rId1"/>
  <rowBreaks count="4" manualBreakCount="4">
    <brk id="37" max="5" man="1"/>
    <brk id="72" max="5" man="1"/>
    <brk id="106" max="5" man="1"/>
    <brk id="141" min="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61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10.625" defaultRowHeight="12.75"/>
  <cols>
    <col min="1" max="1" width="5.375" style="809" customWidth="1"/>
    <col min="2" max="2" width="3.50390625" style="675" customWidth="1"/>
    <col min="3" max="3" width="104.875" style="675" customWidth="1"/>
    <col min="4" max="4" width="18.50390625" style="675" bestFit="1" customWidth="1"/>
    <col min="5" max="5" width="17.875" style="675" customWidth="1"/>
    <col min="6" max="6" width="18.625" style="1161" customWidth="1"/>
    <col min="7" max="7" width="16.50390625" style="675" customWidth="1"/>
    <col min="8" max="16384" width="10.625" style="675" customWidth="1"/>
  </cols>
  <sheetData>
    <row r="1" spans="1:6" s="989" customFormat="1" ht="20.25">
      <c r="A1" s="809"/>
      <c r="B1" s="1342" t="s">
        <v>947</v>
      </c>
      <c r="E1" s="1370"/>
      <c r="F1" s="1370"/>
    </row>
    <row r="2" spans="1:6" s="989" customFormat="1" ht="3" customHeight="1">
      <c r="A2" s="809"/>
      <c r="E2" s="1384"/>
      <c r="F2" s="1384"/>
    </row>
    <row r="3" ht="1.5" customHeight="1" hidden="1"/>
    <row r="4" spans="1:6" s="804" customFormat="1" ht="18.75" hidden="1">
      <c r="A4" s="1359" t="s">
        <v>342</v>
      </c>
      <c r="B4" s="1359"/>
      <c r="C4" s="1359"/>
      <c r="D4" s="1359"/>
      <c r="E4" s="1359"/>
      <c r="F4" s="1359"/>
    </row>
    <row r="5" spans="1:9" s="804" customFormat="1" ht="28.5" customHeight="1">
      <c r="A5" s="1359" t="s">
        <v>712</v>
      </c>
      <c r="B5" s="1359"/>
      <c r="C5" s="1359"/>
      <c r="D5" s="1359"/>
      <c r="E5" s="1359"/>
      <c r="F5" s="1359"/>
      <c r="G5" s="1055"/>
      <c r="I5" s="1055"/>
    </row>
    <row r="6" spans="2:9" ht="15.75" hidden="1">
      <c r="B6" s="985"/>
      <c r="C6" s="985"/>
      <c r="D6" s="985"/>
      <c r="E6" s="985"/>
      <c r="F6" s="1162"/>
      <c r="G6" s="985"/>
      <c r="I6" s="985"/>
    </row>
    <row r="7" spans="2:9" ht="2.25" customHeight="1">
      <c r="B7" s="985"/>
      <c r="C7" s="985"/>
      <c r="D7" s="985"/>
      <c r="E7" s="985"/>
      <c r="F7" s="1162"/>
      <c r="G7" s="985"/>
      <c r="I7" s="985"/>
    </row>
    <row r="8" spans="1:6" s="473" customFormat="1" ht="16.5" thickBot="1">
      <c r="A8" s="820"/>
      <c r="E8" s="1385" t="s">
        <v>384</v>
      </c>
      <c r="F8" s="1385"/>
    </row>
    <row r="9" spans="1:6" s="820" customFormat="1" ht="22.5" customHeight="1" thickBot="1">
      <c r="A9" s="816"/>
      <c r="B9" s="1386" t="s">
        <v>138</v>
      </c>
      <c r="C9" s="1387"/>
      <c r="D9" s="816" t="s">
        <v>139</v>
      </c>
      <c r="E9" s="822" t="s">
        <v>140</v>
      </c>
      <c r="F9" s="816" t="s">
        <v>141</v>
      </c>
    </row>
    <row r="10" spans="1:6" s="1165" customFormat="1" ht="57" customHeight="1" thickBot="1">
      <c r="A10" s="821"/>
      <c r="B10" s="1375" t="s">
        <v>392</v>
      </c>
      <c r="C10" s="1375"/>
      <c r="D10" s="1163" t="s">
        <v>709</v>
      </c>
      <c r="E10" s="1163" t="s">
        <v>711</v>
      </c>
      <c r="F10" s="1164" t="s">
        <v>710</v>
      </c>
    </row>
    <row r="11" spans="1:6" ht="5.25" customHeight="1">
      <c r="A11" s="812"/>
      <c r="B11" s="670"/>
      <c r="C11" s="670"/>
      <c r="D11" s="742"/>
      <c r="E11" s="670"/>
      <c r="F11" s="744"/>
    </row>
    <row r="12" spans="1:7" ht="28.5" customHeight="1">
      <c r="A12" s="812" t="s">
        <v>464</v>
      </c>
      <c r="B12" s="1372" t="s">
        <v>739</v>
      </c>
      <c r="C12" s="1373"/>
      <c r="D12" s="740">
        <f>SUM(D13:D18)</f>
        <v>1466</v>
      </c>
      <c r="E12" s="740">
        <f>SUM(E13:E18)</f>
        <v>0</v>
      </c>
      <c r="F12" s="740">
        <f>SUM(F13:F18)</f>
        <v>1466</v>
      </c>
      <c r="G12" s="675">
        <v>1466</v>
      </c>
    </row>
    <row r="13" spans="1:7" ht="15.75">
      <c r="A13" s="812" t="s">
        <v>562</v>
      </c>
      <c r="B13" s="741" t="s">
        <v>752</v>
      </c>
      <c r="C13" s="670"/>
      <c r="D13" s="742"/>
      <c r="E13" s="670"/>
      <c r="F13" s="744"/>
      <c r="G13" s="675">
        <f>G12-F12</f>
        <v>0</v>
      </c>
    </row>
    <row r="14" spans="1:6" ht="15.75">
      <c r="A14" s="814" t="s">
        <v>563</v>
      </c>
      <c r="B14" s="749"/>
      <c r="C14" s="739" t="s">
        <v>295</v>
      </c>
      <c r="D14" s="742">
        <v>95</v>
      </c>
      <c r="E14" s="750"/>
      <c r="F14" s="744">
        <f>SUM(D14:E14)</f>
        <v>95</v>
      </c>
    </row>
    <row r="15" spans="1:6" ht="3" customHeight="1">
      <c r="A15" s="814"/>
      <c r="B15" s="749"/>
      <c r="C15" s="670"/>
      <c r="D15" s="742"/>
      <c r="E15" s="750"/>
      <c r="F15" s="744"/>
    </row>
    <row r="16" spans="1:6" ht="15.75">
      <c r="A16" s="814" t="s">
        <v>564</v>
      </c>
      <c r="B16" s="741" t="s">
        <v>753</v>
      </c>
      <c r="C16" s="670"/>
      <c r="D16" s="742"/>
      <c r="E16" s="750"/>
      <c r="F16" s="744"/>
    </row>
    <row r="17" spans="1:6" ht="15.75">
      <c r="A17" s="814" t="s">
        <v>565</v>
      </c>
      <c r="B17" s="741"/>
      <c r="C17" s="739" t="s">
        <v>295</v>
      </c>
      <c r="D17" s="742">
        <v>1371</v>
      </c>
      <c r="E17" s="750"/>
      <c r="F17" s="744">
        <f>SUM(D17:E17)</f>
        <v>1371</v>
      </c>
    </row>
    <row r="18" spans="1:6" ht="6.75" customHeight="1">
      <c r="A18" s="814"/>
      <c r="B18" s="741"/>
      <c r="C18" s="670"/>
      <c r="D18" s="742"/>
      <c r="E18" s="750"/>
      <c r="F18" s="744"/>
    </row>
    <row r="19" spans="1:6" s="1165" customFormat="1" ht="3" customHeight="1">
      <c r="A19" s="812"/>
      <c r="B19" s="750"/>
      <c r="C19" s="670"/>
      <c r="D19" s="742"/>
      <c r="E19" s="750"/>
      <c r="F19" s="744"/>
    </row>
    <row r="20" spans="1:6" s="1165" customFormat="1" ht="3" customHeight="1" hidden="1">
      <c r="A20" s="812"/>
      <c r="B20" s="750"/>
      <c r="C20" s="670"/>
      <c r="D20" s="742"/>
      <c r="E20" s="750"/>
      <c r="F20" s="744">
        <f>SUM(D20:E20)</f>
        <v>0</v>
      </c>
    </row>
    <row r="21" spans="1:6" s="1165" customFormat="1" ht="15.75" hidden="1">
      <c r="A21" s="812"/>
      <c r="B21" s="750"/>
      <c r="C21" s="670"/>
      <c r="D21" s="742"/>
      <c r="E21" s="750"/>
      <c r="F21" s="744"/>
    </row>
    <row r="22" spans="1:6" ht="18.75">
      <c r="A22" s="814" t="s">
        <v>566</v>
      </c>
      <c r="B22" s="1341" t="s">
        <v>548</v>
      </c>
      <c r="C22" s="749"/>
      <c r="D22" s="740">
        <f>SUM(D23:D27)</f>
        <v>19050</v>
      </c>
      <c r="E22" s="740">
        <f>SUM(E23:E27)</f>
        <v>0</v>
      </c>
      <c r="F22" s="740">
        <f>SUM(F23:F27)</f>
        <v>19050</v>
      </c>
    </row>
    <row r="23" spans="1:6" ht="3" customHeight="1">
      <c r="A23" s="814"/>
      <c r="B23" s="748"/>
      <c r="C23" s="670"/>
      <c r="D23" s="742"/>
      <c r="E23" s="670"/>
      <c r="F23" s="744">
        <f>SUM(D23:E23)</f>
        <v>0</v>
      </c>
    </row>
    <row r="24" spans="1:6" ht="15.75">
      <c r="A24" s="814" t="s">
        <v>567</v>
      </c>
      <c r="B24" s="749"/>
      <c r="C24" s="670" t="s">
        <v>779</v>
      </c>
      <c r="D24" s="742">
        <v>19050</v>
      </c>
      <c r="E24" s="670"/>
      <c r="F24" s="744">
        <f>SUM(D24:E24)</f>
        <v>19050</v>
      </c>
    </row>
    <row r="25" spans="1:6" ht="10.5" customHeight="1">
      <c r="A25" s="814"/>
      <c r="B25" s="749"/>
      <c r="C25" s="670"/>
      <c r="D25" s="742"/>
      <c r="E25" s="670"/>
      <c r="F25" s="744"/>
    </row>
    <row r="26" spans="1:6" ht="1.5" customHeight="1">
      <c r="A26" s="814"/>
      <c r="B26" s="1382"/>
      <c r="C26" s="1383"/>
      <c r="D26" s="742"/>
      <c r="E26" s="670"/>
      <c r="F26" s="744"/>
    </row>
    <row r="27" spans="1:6" s="1165" customFormat="1" ht="6.75" customHeight="1" hidden="1">
      <c r="A27" s="812"/>
      <c r="B27" s="750"/>
      <c r="C27" s="670"/>
      <c r="D27" s="742"/>
      <c r="E27" s="750"/>
      <c r="F27" s="744"/>
    </row>
    <row r="28" spans="1:6" s="804" customFormat="1" ht="18.75">
      <c r="A28" s="812" t="s">
        <v>590</v>
      </c>
      <c r="B28" s="819" t="s">
        <v>552</v>
      </c>
      <c r="C28" s="801"/>
      <c r="D28" s="803">
        <f>SUM(D29:D51)</f>
        <v>1030656.4410100001</v>
      </c>
      <c r="E28" s="819">
        <f>SUM(E29:E51)</f>
        <v>0</v>
      </c>
      <c r="F28" s="803">
        <f>SUM(F29:F51)</f>
        <v>1030656.4410100001</v>
      </c>
    </row>
    <row r="29" spans="1:6" ht="1.5" customHeight="1">
      <c r="A29" s="812"/>
      <c r="B29" s="749"/>
      <c r="C29" s="750"/>
      <c r="D29" s="742"/>
      <c r="E29" s="670"/>
      <c r="F29" s="744"/>
    </row>
    <row r="30" spans="1:6" ht="15.75">
      <c r="A30" s="812" t="s">
        <v>351</v>
      </c>
      <c r="B30" s="1167" t="s">
        <v>875</v>
      </c>
      <c r="C30" s="789"/>
      <c r="D30" s="742"/>
      <c r="E30" s="670"/>
      <c r="F30" s="744"/>
    </row>
    <row r="31" spans="1:6" ht="15.75">
      <c r="A31" s="812" t="s">
        <v>174</v>
      </c>
      <c r="B31" s="670"/>
      <c r="C31" s="720" t="s">
        <v>14</v>
      </c>
      <c r="D31" s="742">
        <f>229971.546*1.27</f>
        <v>292063.86342</v>
      </c>
      <c r="E31" s="670"/>
      <c r="F31" s="744">
        <f aca="true" t="shared" si="0" ref="F31:F45">SUM(D31:E31)</f>
        <v>292063.86342</v>
      </c>
    </row>
    <row r="32" spans="1:6" ht="15.75">
      <c r="A32" s="812" t="s">
        <v>375</v>
      </c>
      <c r="B32" s="670"/>
      <c r="C32" s="720" t="s">
        <v>513</v>
      </c>
      <c r="D32" s="742">
        <f>15000*1.27</f>
        <v>19050</v>
      </c>
      <c r="E32" s="670"/>
      <c r="F32" s="744">
        <f t="shared" si="0"/>
        <v>19050</v>
      </c>
    </row>
    <row r="33" spans="1:6" ht="10.5" customHeight="1">
      <c r="A33" s="812"/>
      <c r="B33" s="670"/>
      <c r="C33" s="670"/>
      <c r="D33" s="742"/>
      <c r="E33" s="670"/>
      <c r="F33" s="744"/>
    </row>
    <row r="34" spans="1:6" s="670" customFormat="1" ht="6.75" customHeight="1" hidden="1">
      <c r="A34" s="812"/>
      <c r="D34" s="742"/>
      <c r="F34" s="744">
        <f t="shared" si="0"/>
        <v>0</v>
      </c>
    </row>
    <row r="35" spans="1:6" ht="15.75">
      <c r="A35" s="814" t="s">
        <v>376</v>
      </c>
      <c r="B35" s="1168" t="s">
        <v>876</v>
      </c>
      <c r="C35" s="776"/>
      <c r="D35" s="742"/>
      <c r="E35" s="670"/>
      <c r="F35" s="744"/>
    </row>
    <row r="36" spans="1:6" ht="15.75" hidden="1">
      <c r="A36" s="814"/>
      <c r="B36" s="779"/>
      <c r="C36" s="1056" t="s">
        <v>333</v>
      </c>
      <c r="D36" s="742"/>
      <c r="E36" s="670"/>
      <c r="F36" s="744">
        <f t="shared" si="0"/>
        <v>0</v>
      </c>
    </row>
    <row r="37" spans="1:6" ht="15.75">
      <c r="A37" s="814" t="s">
        <v>142</v>
      </c>
      <c r="B37" s="779"/>
      <c r="C37" s="795" t="s">
        <v>629</v>
      </c>
      <c r="D37" s="742">
        <v>27452.32</v>
      </c>
      <c r="E37" s="670"/>
      <c r="F37" s="744">
        <f t="shared" si="0"/>
        <v>27452.32</v>
      </c>
    </row>
    <row r="38" spans="1:6" s="670" customFormat="1" ht="15.75">
      <c r="A38" s="814" t="s">
        <v>377</v>
      </c>
      <c r="B38" s="779"/>
      <c r="C38" s="720" t="s">
        <v>15</v>
      </c>
      <c r="D38" s="742">
        <v>180975</v>
      </c>
      <c r="F38" s="744">
        <f t="shared" si="0"/>
        <v>180975</v>
      </c>
    </row>
    <row r="39" spans="1:6" s="670" customFormat="1" ht="9" customHeight="1">
      <c r="A39" s="814"/>
      <c r="B39" s="779"/>
      <c r="C39" s="795"/>
      <c r="D39" s="742"/>
      <c r="F39" s="744"/>
    </row>
    <row r="40" spans="1:6" s="670" customFormat="1" ht="15.75">
      <c r="A40" s="814" t="s">
        <v>378</v>
      </c>
      <c r="B40" s="778" t="s">
        <v>5</v>
      </c>
      <c r="C40" s="684"/>
      <c r="D40" s="742"/>
      <c r="F40" s="744"/>
    </row>
    <row r="41" spans="1:6" s="670" customFormat="1" ht="15.75">
      <c r="A41" s="814" t="s">
        <v>503</v>
      </c>
      <c r="B41" s="779"/>
      <c r="C41" s="729" t="s">
        <v>760</v>
      </c>
      <c r="D41" s="742">
        <v>5002</v>
      </c>
      <c r="F41" s="744">
        <f t="shared" si="0"/>
        <v>5002</v>
      </c>
    </row>
    <row r="42" spans="1:6" s="670" customFormat="1" ht="31.5">
      <c r="A42" s="814" t="s">
        <v>504</v>
      </c>
      <c r="B42" s="779"/>
      <c r="C42" s="729" t="s">
        <v>761</v>
      </c>
      <c r="D42" s="742">
        <v>70921</v>
      </c>
      <c r="F42" s="744">
        <f t="shared" si="0"/>
        <v>70921</v>
      </c>
    </row>
    <row r="43" spans="1:6" ht="27" customHeight="1">
      <c r="A43" s="812" t="s">
        <v>505</v>
      </c>
      <c r="B43" s="749" t="s">
        <v>877</v>
      </c>
      <c r="C43" s="670"/>
      <c r="D43" s="742"/>
      <c r="E43" s="670"/>
      <c r="F43" s="744"/>
    </row>
    <row r="44" spans="1:6" ht="19.5" customHeight="1">
      <c r="A44" s="812" t="s">
        <v>143</v>
      </c>
      <c r="B44" s="749"/>
      <c r="C44" s="730" t="s">
        <v>16</v>
      </c>
      <c r="D44" s="742">
        <f>277561.417*1.27</f>
        <v>352502.99959</v>
      </c>
      <c r="E44" s="670"/>
      <c r="F44" s="744">
        <f t="shared" si="0"/>
        <v>352502.99959</v>
      </c>
    </row>
    <row r="45" spans="1:7" ht="15.75">
      <c r="A45" s="812" t="s">
        <v>144</v>
      </c>
      <c r="B45" s="750"/>
      <c r="C45" s="729" t="s">
        <v>17</v>
      </c>
      <c r="D45" s="742">
        <f>41000*1.27</f>
        <v>52070</v>
      </c>
      <c r="E45" s="670"/>
      <c r="F45" s="744">
        <f t="shared" si="0"/>
        <v>52070</v>
      </c>
      <c r="G45" s="675">
        <f>SUM(F45:F50)</f>
        <v>82689.258</v>
      </c>
    </row>
    <row r="46" spans="1:6" ht="8.25" customHeight="1">
      <c r="A46" s="812"/>
      <c r="B46" s="750"/>
      <c r="C46" s="729"/>
      <c r="D46" s="742"/>
      <c r="E46" s="670"/>
      <c r="F46" s="744"/>
    </row>
    <row r="47" spans="1:6" ht="15.75">
      <c r="A47" s="812" t="s">
        <v>145</v>
      </c>
      <c r="B47" s="683" t="s">
        <v>772</v>
      </c>
      <c r="C47" s="729"/>
      <c r="D47" s="742"/>
      <c r="E47" s="670"/>
      <c r="F47" s="744"/>
    </row>
    <row r="48" spans="1:6" ht="15.75">
      <c r="A48" s="812" t="s">
        <v>146</v>
      </c>
      <c r="B48" s="750"/>
      <c r="C48" s="729" t="s">
        <v>773</v>
      </c>
      <c r="D48" s="742">
        <v>3674.844</v>
      </c>
      <c r="E48" s="670"/>
      <c r="F48" s="744">
        <f>SUM(D48:E48)</f>
        <v>3674.844</v>
      </c>
    </row>
    <row r="49" spans="1:6" ht="15.75">
      <c r="A49" s="812"/>
      <c r="B49" s="750"/>
      <c r="C49" s="729" t="s">
        <v>869</v>
      </c>
      <c r="D49" s="742">
        <f>12000*1.27</f>
        <v>15240</v>
      </c>
      <c r="E49" s="670"/>
      <c r="F49" s="744">
        <f>SUM(D49:E49)</f>
        <v>15240</v>
      </c>
    </row>
    <row r="50" spans="1:6" ht="15.75">
      <c r="A50" s="814" t="s">
        <v>147</v>
      </c>
      <c r="B50" s="750"/>
      <c r="C50" s="727" t="s">
        <v>774</v>
      </c>
      <c r="D50" s="742">
        <v>11704.414</v>
      </c>
      <c r="E50" s="670"/>
      <c r="F50" s="744">
        <f>SUM(D50:E50)</f>
        <v>11704.414</v>
      </c>
    </row>
    <row r="51" spans="1:6" ht="4.5" customHeight="1" thickBot="1">
      <c r="A51" s="812"/>
      <c r="B51" s="670"/>
      <c r="C51" s="670"/>
      <c r="D51" s="742"/>
      <c r="E51" s="670"/>
      <c r="F51" s="744"/>
    </row>
    <row r="52" spans="1:6" s="1172" customFormat="1" ht="32.25" customHeight="1" thickBot="1">
      <c r="A52" s="816" t="s">
        <v>148</v>
      </c>
      <c r="B52" s="1169" t="s">
        <v>358</v>
      </c>
      <c r="C52" s="1170"/>
      <c r="D52" s="1171">
        <f>SUM(D12,D22,D28)</f>
        <v>1051172.4410100002</v>
      </c>
      <c r="E52" s="1171">
        <f>SUM(E12,E22,E28)</f>
        <v>0</v>
      </c>
      <c r="F52" s="1171">
        <f>SUM(F12,F22,F28)</f>
        <v>1051172.4410100002</v>
      </c>
    </row>
    <row r="54" spans="4:6" ht="15.75">
      <c r="D54" s="675">
        <f>SUM(D30:D51,D23:D26,D13:D21)</f>
        <v>1051172.4410100002</v>
      </c>
      <c r="E54" s="675">
        <f>SUM(E30:E51,E23:E26,E13:E21)</f>
        <v>0</v>
      </c>
      <c r="F54" s="675">
        <f>SUM(F30:F51,F23:F26,F13:F21)</f>
        <v>1051172.4410100002</v>
      </c>
    </row>
    <row r="55" spans="4:6" ht="15.75">
      <c r="D55" s="675">
        <f>(SUM(D12:D52)/3)</f>
        <v>1051172.4410100002</v>
      </c>
      <c r="E55" s="675">
        <f>(SUM(E12:E52)/3)</f>
        <v>0</v>
      </c>
      <c r="F55" s="675">
        <f>(SUM(F12:F52)/3)</f>
        <v>1051172.4410100002</v>
      </c>
    </row>
    <row r="56" spans="4:6" ht="15.75">
      <c r="D56" s="675">
        <f>D52-D57</f>
        <v>0.131010000128299</v>
      </c>
      <c r="F56" s="675"/>
    </row>
    <row r="57" ht="15.75">
      <c r="D57" s="675">
        <f>'[3]KIEMELT ELŐIRÁNYZATOK'!$U$34</f>
        <v>1051172.31</v>
      </c>
    </row>
    <row r="58" spans="3:4" ht="15.75">
      <c r="C58" s="987"/>
      <c r="D58" s="675">
        <f>D57-D52</f>
        <v>-0.131010000128299</v>
      </c>
    </row>
    <row r="60" ht="15.75">
      <c r="D60" s="675">
        <f>'[6]KIEMELT ELŐIRÁNYZATOK'!$U$34</f>
        <v>1051172.31</v>
      </c>
    </row>
    <row r="61" ht="15.75">
      <c r="D61" s="675">
        <f>D60-D52</f>
        <v>-0.131010000128299</v>
      </c>
    </row>
  </sheetData>
  <sheetProtection/>
  <mergeCells count="9">
    <mergeCell ref="B26:C26"/>
    <mergeCell ref="E1:F1"/>
    <mergeCell ref="B10:C10"/>
    <mergeCell ref="E2:F2"/>
    <mergeCell ref="A4:F4"/>
    <mergeCell ref="A5:F5"/>
    <mergeCell ref="E8:F8"/>
    <mergeCell ref="B9:C9"/>
    <mergeCell ref="B12:C12"/>
  </mergeCells>
  <printOptions horizontalCentered="1"/>
  <pageMargins left="0.3937007874015748" right="0.3937007874015748" top="0.28" bottom="0.24" header="0.5118110236220472" footer="0.31"/>
  <pageSetup horizontalDpi="600" verticalDpi="600" orientation="landscape" paperSize="9" scale="87" r:id="rId1"/>
  <headerFooter alignWithMargins="0">
    <oddHeader>&amp;C
</oddHeader>
  </headerFooter>
  <rowBreaks count="1" manualBreakCount="1">
    <brk id="5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102"/>
  <sheetViews>
    <sheetView view="pageBreakPreview" zoomScaleSheetLayoutView="100" zoomScalePageLayoutView="0" workbookViewId="0" topLeftCell="B1">
      <selection activeCell="B1" sqref="B1:G1"/>
    </sheetView>
  </sheetViews>
  <sheetFormatPr defaultColWidth="10.625" defaultRowHeight="12.75"/>
  <cols>
    <col min="1" max="1" width="13.625" style="0" hidden="1" customWidth="1"/>
    <col min="2" max="2" width="5.50390625" style="0" customWidth="1"/>
    <col min="3" max="3" width="113.875" style="0" customWidth="1"/>
    <col min="4" max="4" width="24.50390625" style="0" hidden="1" customWidth="1"/>
    <col min="5" max="5" width="22.625" style="0" hidden="1" customWidth="1"/>
    <col min="6" max="6" width="11.875" style="0" hidden="1" customWidth="1"/>
    <col min="7" max="7" width="22.625" style="0" hidden="1" customWidth="1"/>
    <col min="8" max="8" width="6.625" style="0" hidden="1" customWidth="1"/>
    <col min="9" max="9" width="34.125" style="0" hidden="1" customWidth="1"/>
    <col min="10" max="10" width="22.625" style="0" hidden="1" customWidth="1"/>
    <col min="11" max="11" width="11.875" style="0" hidden="1" customWidth="1"/>
    <col min="12" max="12" width="22.625" style="0" hidden="1" customWidth="1"/>
    <col min="13" max="13" width="9.625" style="0" hidden="1" customWidth="1"/>
    <col min="14" max="14" width="36.375" style="0" hidden="1" customWidth="1"/>
    <col min="15" max="15" width="34.875" style="0" hidden="1" customWidth="1"/>
    <col min="16" max="16" width="28.125" style="0" hidden="1" customWidth="1"/>
    <col min="17" max="17" width="28.50390625" style="0" customWidth="1"/>
    <col min="18" max="19" width="29.375" style="0" customWidth="1"/>
    <col min="20" max="20" width="20.50390625" style="0" customWidth="1"/>
    <col min="21" max="22" width="27.875" style="0" customWidth="1"/>
  </cols>
  <sheetData>
    <row r="1" spans="1:22" ht="31.5" customHeight="1">
      <c r="A1" s="414"/>
      <c r="B1" s="1390" t="s">
        <v>948</v>
      </c>
      <c r="C1" s="1390"/>
      <c r="D1" s="1390"/>
      <c r="E1" s="1390"/>
      <c r="F1" s="1390"/>
      <c r="G1" s="1390"/>
      <c r="H1" s="262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586"/>
      <c r="U1" s="587"/>
      <c r="V1" s="588"/>
    </row>
    <row r="3" spans="1:22" ht="15.75">
      <c r="A3" s="414"/>
      <c r="B3" s="435"/>
      <c r="C3" s="589"/>
      <c r="D3" s="261"/>
      <c r="E3" s="261"/>
      <c r="F3" s="262"/>
      <c r="G3" s="261"/>
      <c r="H3" s="262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586"/>
      <c r="U3" s="587"/>
      <c r="V3" s="588"/>
    </row>
    <row r="4" spans="1:22" s="594" customFormat="1" ht="33" customHeight="1">
      <c r="A4" s="590"/>
      <c r="B4" s="591"/>
      <c r="C4" s="1391" t="s">
        <v>713</v>
      </c>
      <c r="D4" s="1391"/>
      <c r="E4" s="1391"/>
      <c r="F4" s="1391"/>
      <c r="G4" s="1391"/>
      <c r="H4" s="1391"/>
      <c r="I4" s="1391"/>
      <c r="J4" s="1391"/>
      <c r="K4" s="1391"/>
      <c r="L4" s="1391"/>
      <c r="M4" s="1391"/>
      <c r="N4" s="1391"/>
      <c r="O4" s="1391"/>
      <c r="P4" s="1391"/>
      <c r="Q4" s="1391"/>
      <c r="R4" s="1391"/>
      <c r="S4" s="1391"/>
      <c r="T4" s="1391"/>
      <c r="U4" s="592"/>
      <c r="V4" s="593"/>
    </row>
    <row r="5" spans="1:22" ht="14.25" customHeight="1" thickBot="1">
      <c r="A5" s="414"/>
      <c r="B5" s="435"/>
      <c r="C5" s="260"/>
      <c r="D5" s="261"/>
      <c r="E5" s="261"/>
      <c r="F5" s="262"/>
      <c r="G5" s="261"/>
      <c r="H5" s="262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586"/>
      <c r="U5" s="587"/>
      <c r="V5" s="588"/>
    </row>
    <row r="6" spans="1:22" s="443" customFormat="1" ht="19.5" customHeight="1" thickBot="1">
      <c r="A6" s="436"/>
      <c r="B6" s="426"/>
      <c r="C6" s="437" t="s">
        <v>138</v>
      </c>
      <c r="D6" s="438"/>
      <c r="E6" s="438"/>
      <c r="F6" s="439"/>
      <c r="G6" s="438"/>
      <c r="H6" s="439"/>
      <c r="I6" s="440" t="s">
        <v>139</v>
      </c>
      <c r="J6" s="441"/>
      <c r="K6" s="441"/>
      <c r="L6" s="441"/>
      <c r="M6" s="441"/>
      <c r="N6" s="441" t="s">
        <v>140</v>
      </c>
      <c r="O6" s="440" t="s">
        <v>141</v>
      </c>
      <c r="P6" s="440" t="s">
        <v>139</v>
      </c>
      <c r="Q6" s="440" t="s">
        <v>140</v>
      </c>
      <c r="R6" s="442" t="s">
        <v>141</v>
      </c>
      <c r="S6" s="442" t="s">
        <v>427</v>
      </c>
      <c r="T6" s="595" t="s">
        <v>322</v>
      </c>
      <c r="U6" s="596"/>
      <c r="V6" s="597"/>
    </row>
    <row r="7" spans="1:22" ht="16.5" hidden="1" thickBot="1">
      <c r="A7" s="394"/>
      <c r="B7" s="427"/>
      <c r="C7" s="260"/>
      <c r="D7" s="261">
        <v>116094</v>
      </c>
      <c r="E7" s="261"/>
      <c r="F7" s="262"/>
      <c r="G7" s="261"/>
      <c r="H7" s="262"/>
      <c r="I7" s="263">
        <v>116094</v>
      </c>
      <c r="J7" s="263"/>
      <c r="K7" s="263"/>
      <c r="L7" s="263"/>
      <c r="M7" s="263"/>
      <c r="N7" s="263">
        <v>116094</v>
      </c>
      <c r="O7" s="263">
        <v>116094</v>
      </c>
      <c r="P7" s="263">
        <v>116094</v>
      </c>
      <c r="Q7" s="263">
        <v>116094</v>
      </c>
      <c r="R7" s="263"/>
      <c r="S7" s="263"/>
      <c r="T7" s="586"/>
      <c r="U7" s="587"/>
      <c r="V7" s="588"/>
    </row>
    <row r="8" spans="1:22" s="396" customFormat="1" ht="40.5" customHeight="1">
      <c r="A8" s="395"/>
      <c r="B8" s="428"/>
      <c r="C8" s="264"/>
      <c r="D8" s="1392" t="s">
        <v>525</v>
      </c>
      <c r="E8" s="1393"/>
      <c r="F8" s="1393"/>
      <c r="G8" s="1393"/>
      <c r="H8" s="1394"/>
      <c r="I8" s="1395" t="s">
        <v>526</v>
      </c>
      <c r="J8" s="1396"/>
      <c r="K8" s="1396"/>
      <c r="L8" s="1396"/>
      <c r="M8" s="1397"/>
      <c r="N8" s="265" t="s">
        <v>397</v>
      </c>
      <c r="O8" s="265" t="s">
        <v>406</v>
      </c>
      <c r="P8" s="265" t="s">
        <v>296</v>
      </c>
      <c r="Q8" s="265" t="s">
        <v>266</v>
      </c>
      <c r="R8" s="265" t="s">
        <v>130</v>
      </c>
      <c r="S8" s="265" t="s">
        <v>714</v>
      </c>
      <c r="T8" s="598" t="s">
        <v>307</v>
      </c>
      <c r="U8" s="599"/>
      <c r="V8" s="600"/>
    </row>
    <row r="9" spans="1:22" s="398" customFormat="1" ht="15.75">
      <c r="A9" s="397"/>
      <c r="B9" s="429" t="s">
        <v>464</v>
      </c>
      <c r="C9" s="266" t="s">
        <v>481</v>
      </c>
      <c r="D9" s="267" t="s">
        <v>527</v>
      </c>
      <c r="E9" s="1398" t="s">
        <v>398</v>
      </c>
      <c r="F9" s="1399"/>
      <c r="G9" s="1400" t="s">
        <v>399</v>
      </c>
      <c r="H9" s="1401"/>
      <c r="I9" s="269" t="s">
        <v>527</v>
      </c>
      <c r="J9" s="1402" t="s">
        <v>398</v>
      </c>
      <c r="K9" s="1403"/>
      <c r="L9" s="1404" t="s">
        <v>399</v>
      </c>
      <c r="M9" s="1405"/>
      <c r="N9" s="270" t="s">
        <v>400</v>
      </c>
      <c r="O9" s="270" t="s">
        <v>400</v>
      </c>
      <c r="P9" s="270" t="s">
        <v>400</v>
      </c>
      <c r="Q9" s="270" t="s">
        <v>400</v>
      </c>
      <c r="R9" s="270" t="s">
        <v>400</v>
      </c>
      <c r="S9" s="270" t="s">
        <v>400</v>
      </c>
      <c r="T9" s="601" t="s">
        <v>715</v>
      </c>
      <c r="U9" s="602"/>
      <c r="V9" s="603"/>
    </row>
    <row r="10" spans="1:22" s="400" customFormat="1" ht="29.25" customHeight="1" thickBot="1">
      <c r="A10" s="399"/>
      <c r="B10" s="430"/>
      <c r="C10" s="271"/>
      <c r="D10" s="272" t="s">
        <v>369</v>
      </c>
      <c r="E10" s="273" t="s">
        <v>369</v>
      </c>
      <c r="F10" s="274" t="s">
        <v>401</v>
      </c>
      <c r="G10" s="268" t="s">
        <v>369</v>
      </c>
      <c r="H10" s="275" t="s">
        <v>401</v>
      </c>
      <c r="I10" s="276" t="s">
        <v>369</v>
      </c>
      <c r="J10" s="277" t="s">
        <v>369</v>
      </c>
      <c r="K10" s="278" t="s">
        <v>401</v>
      </c>
      <c r="L10" s="279" t="s">
        <v>369</v>
      </c>
      <c r="M10" s="279" t="s">
        <v>401</v>
      </c>
      <c r="N10" s="280" t="s">
        <v>369</v>
      </c>
      <c r="O10" s="280" t="s">
        <v>369</v>
      </c>
      <c r="P10" s="280" t="s">
        <v>369</v>
      </c>
      <c r="Q10" s="280" t="s">
        <v>369</v>
      </c>
      <c r="R10" s="280" t="s">
        <v>369</v>
      </c>
      <c r="S10" s="280" t="s">
        <v>369</v>
      </c>
      <c r="T10" s="604"/>
      <c r="U10" s="602"/>
      <c r="V10" s="605"/>
    </row>
    <row r="11" spans="1:21" s="588" customFormat="1" ht="25.5" customHeight="1">
      <c r="A11" s="606"/>
      <c r="B11" s="607" t="s">
        <v>562</v>
      </c>
      <c r="C11" s="608" t="s">
        <v>528</v>
      </c>
      <c r="D11" s="609">
        <v>111544</v>
      </c>
      <c r="E11" s="610"/>
      <c r="F11" s="610"/>
      <c r="G11" s="610"/>
      <c r="H11" s="610"/>
      <c r="I11" s="609">
        <v>111786</v>
      </c>
      <c r="J11" s="610"/>
      <c r="K11" s="610"/>
      <c r="L11" s="610"/>
      <c r="M11" s="610"/>
      <c r="N11" s="611">
        <v>113321</v>
      </c>
      <c r="O11" s="611">
        <v>114142</v>
      </c>
      <c r="P11" s="611" t="s">
        <v>186</v>
      </c>
      <c r="Q11" s="612" t="s">
        <v>187</v>
      </c>
      <c r="R11" s="612" t="s">
        <v>188</v>
      </c>
      <c r="S11" s="612" t="s">
        <v>716</v>
      </c>
      <c r="T11" s="613"/>
      <c r="U11" s="614"/>
    </row>
    <row r="12" spans="1:21" s="588" customFormat="1" ht="33" customHeight="1">
      <c r="A12" s="606"/>
      <c r="B12" s="607" t="s">
        <v>563</v>
      </c>
      <c r="C12" s="615" t="s">
        <v>197</v>
      </c>
      <c r="D12" s="616"/>
      <c r="E12" s="617"/>
      <c r="F12" s="617"/>
      <c r="G12" s="617"/>
      <c r="H12" s="617"/>
      <c r="I12" s="616"/>
      <c r="J12" s="617"/>
      <c r="K12" s="617"/>
      <c r="L12" s="617"/>
      <c r="M12" s="617"/>
      <c r="N12" s="612"/>
      <c r="O12" s="612"/>
      <c r="P12" s="612"/>
      <c r="Q12" s="612"/>
      <c r="R12" s="612"/>
      <c r="S12" s="612"/>
      <c r="T12" s="618"/>
      <c r="U12" s="614"/>
    </row>
    <row r="13" spans="1:22" s="401" customFormat="1" ht="21" customHeight="1">
      <c r="A13" s="394"/>
      <c r="B13" s="427" t="s">
        <v>564</v>
      </c>
      <c r="C13" s="282" t="s">
        <v>191</v>
      </c>
      <c r="D13" s="283"/>
      <c r="E13" s="284"/>
      <c r="F13" s="285"/>
      <c r="G13" s="284"/>
      <c r="H13" s="285"/>
      <c r="I13" s="286">
        <f aca="true" t="shared" si="0" ref="I13:S13">SUM(I14:I23)</f>
        <v>197150150</v>
      </c>
      <c r="J13" s="286">
        <f t="shared" si="0"/>
        <v>0</v>
      </c>
      <c r="K13" s="286">
        <f t="shared" si="0"/>
        <v>0</v>
      </c>
      <c r="L13" s="286">
        <f t="shared" si="0"/>
        <v>196926578</v>
      </c>
      <c r="M13" s="286">
        <f t="shared" si="0"/>
        <v>200</v>
      </c>
      <c r="N13" s="286">
        <f t="shared" si="0"/>
        <v>196472040</v>
      </c>
      <c r="O13" s="286">
        <f t="shared" si="0"/>
        <v>199688433</v>
      </c>
      <c r="P13" s="286">
        <f t="shared" si="0"/>
        <v>341252327</v>
      </c>
      <c r="Q13" s="286">
        <f>SUM(Q14:Q23)</f>
        <v>311661000</v>
      </c>
      <c r="R13" s="286">
        <f>SUM(R14:R23)</f>
        <v>156118050</v>
      </c>
      <c r="S13" s="286">
        <f t="shared" si="0"/>
        <v>0</v>
      </c>
      <c r="T13" s="613">
        <f>S13/R13</f>
        <v>0</v>
      </c>
      <c r="U13" s="619"/>
      <c r="V13" s="620"/>
    </row>
    <row r="14" spans="1:22" ht="15.75">
      <c r="A14" s="402"/>
      <c r="B14" s="427" t="s">
        <v>565</v>
      </c>
      <c r="C14" s="287" t="s">
        <v>297</v>
      </c>
      <c r="D14" s="288"/>
      <c r="E14" s="289"/>
      <c r="F14" s="290"/>
      <c r="G14" s="289"/>
      <c r="H14" s="290"/>
      <c r="I14" s="291"/>
      <c r="J14" s="292"/>
      <c r="K14" s="292"/>
      <c r="L14" s="292"/>
      <c r="M14" s="292"/>
      <c r="N14" s="293"/>
      <c r="O14" s="293"/>
      <c r="P14" s="293"/>
      <c r="Q14" s="293"/>
      <c r="R14" s="293"/>
      <c r="S14" s="293"/>
      <c r="T14" s="621"/>
      <c r="U14" s="622"/>
      <c r="V14" s="588"/>
    </row>
    <row r="15" spans="1:22" ht="15.75">
      <c r="A15" s="402"/>
      <c r="B15" s="427" t="s">
        <v>566</v>
      </c>
      <c r="C15" s="287" t="s">
        <v>298</v>
      </c>
      <c r="D15" s="288"/>
      <c r="E15" s="289"/>
      <c r="F15" s="290"/>
      <c r="G15" s="289"/>
      <c r="H15" s="290"/>
      <c r="I15" s="291"/>
      <c r="J15" s="292"/>
      <c r="K15" s="292"/>
      <c r="L15" s="292"/>
      <c r="M15" s="292"/>
      <c r="N15" s="293"/>
      <c r="O15" s="293"/>
      <c r="P15" s="293"/>
      <c r="Q15" s="293"/>
      <c r="R15" s="293"/>
      <c r="S15" s="293"/>
      <c r="T15" s="621"/>
      <c r="U15" s="622">
        <f>SUM(S14:S15)</f>
        <v>0</v>
      </c>
      <c r="V15" s="588"/>
    </row>
    <row r="16" spans="1:22" ht="15.75">
      <c r="A16" s="402"/>
      <c r="B16" s="427" t="s">
        <v>567</v>
      </c>
      <c r="C16" s="287" t="s">
        <v>299</v>
      </c>
      <c r="D16" s="288"/>
      <c r="E16" s="289"/>
      <c r="F16" s="290"/>
      <c r="G16" s="289"/>
      <c r="H16" s="290"/>
      <c r="I16" s="291"/>
      <c r="J16" s="292"/>
      <c r="K16" s="292"/>
      <c r="L16" s="292"/>
      <c r="M16" s="292"/>
      <c r="N16" s="293"/>
      <c r="O16" s="293"/>
      <c r="P16" s="293"/>
      <c r="Q16" s="293"/>
      <c r="R16" s="293"/>
      <c r="S16" s="293"/>
      <c r="T16" s="621"/>
      <c r="U16" s="622"/>
      <c r="V16" s="588"/>
    </row>
    <row r="17" spans="1:22" ht="15.75">
      <c r="A17" s="402"/>
      <c r="B17" s="427" t="s">
        <v>590</v>
      </c>
      <c r="C17" s="287" t="s">
        <v>300</v>
      </c>
      <c r="D17" s="288"/>
      <c r="E17" s="289"/>
      <c r="F17" s="290"/>
      <c r="G17" s="289"/>
      <c r="H17" s="290"/>
      <c r="I17" s="291"/>
      <c r="J17" s="292"/>
      <c r="K17" s="292"/>
      <c r="L17" s="292"/>
      <c r="M17" s="292"/>
      <c r="N17" s="293"/>
      <c r="O17" s="293"/>
      <c r="P17" s="293">
        <f>83315499+257936828</f>
        <v>341252327</v>
      </c>
      <c r="Q17" s="293">
        <v>311661000</v>
      </c>
      <c r="R17" s="293">
        <v>156118050</v>
      </c>
      <c r="S17" s="293"/>
      <c r="T17" s="621">
        <f>S17/R17</f>
        <v>0</v>
      </c>
      <c r="U17" s="622"/>
      <c r="V17" s="588"/>
    </row>
    <row r="18" spans="1:22" ht="2.25" customHeight="1">
      <c r="A18" s="402"/>
      <c r="B18" s="427"/>
      <c r="C18" s="287"/>
      <c r="D18" s="288"/>
      <c r="E18" s="289"/>
      <c r="F18" s="290"/>
      <c r="G18" s="289"/>
      <c r="H18" s="290"/>
      <c r="I18" s="291"/>
      <c r="J18" s="292"/>
      <c r="K18" s="292"/>
      <c r="L18" s="292"/>
      <c r="M18" s="292"/>
      <c r="N18" s="293"/>
      <c r="O18" s="293"/>
      <c r="P18" s="293"/>
      <c r="Q18" s="293"/>
      <c r="R18" s="293"/>
      <c r="S18" s="293"/>
      <c r="T18" s="621"/>
      <c r="U18" s="622"/>
      <c r="V18" s="588"/>
    </row>
    <row r="19" spans="1:22" s="406" customFormat="1" ht="32.25" customHeight="1" hidden="1">
      <c r="A19" s="403"/>
      <c r="B19" s="431" t="s">
        <v>590</v>
      </c>
      <c r="C19" s="259" t="s">
        <v>306</v>
      </c>
      <c r="D19" s="252">
        <v>108103009</v>
      </c>
      <c r="E19" s="253">
        <f>D19*F19/100</f>
        <v>0</v>
      </c>
      <c r="F19" s="254">
        <v>0</v>
      </c>
      <c r="G19" s="253">
        <f>D19-E19</f>
        <v>108103009</v>
      </c>
      <c r="H19" s="254">
        <v>100</v>
      </c>
      <c r="I19" s="444">
        <v>110395654</v>
      </c>
      <c r="J19" s="256">
        <f>I19*K19/100</f>
        <v>0</v>
      </c>
      <c r="K19" s="256">
        <v>0</v>
      </c>
      <c r="L19" s="256">
        <f>I19-J19</f>
        <v>110395654</v>
      </c>
      <c r="M19" s="256">
        <v>100</v>
      </c>
      <c r="N19" s="258">
        <v>101080268</v>
      </c>
      <c r="O19" s="258">
        <v>79635525</v>
      </c>
      <c r="P19" s="258"/>
      <c r="Q19" s="258"/>
      <c r="R19" s="258"/>
      <c r="S19" s="258"/>
      <c r="T19" s="623"/>
      <c r="U19" s="624"/>
      <c r="V19" s="625"/>
    </row>
    <row r="20" spans="1:22" ht="20.25" customHeight="1" hidden="1">
      <c r="A20" s="394"/>
      <c r="B20" s="427" t="s">
        <v>351</v>
      </c>
      <c r="C20" s="249" t="s">
        <v>529</v>
      </c>
      <c r="D20" s="243"/>
      <c r="E20" s="244"/>
      <c r="F20" s="245"/>
      <c r="G20" s="244"/>
      <c r="H20" s="245"/>
      <c r="I20" s="294">
        <v>223572</v>
      </c>
      <c r="J20" s="247"/>
      <c r="K20" s="247"/>
      <c r="L20" s="247"/>
      <c r="M20" s="247"/>
      <c r="N20" s="250"/>
      <c r="O20" s="250"/>
      <c r="P20" s="250"/>
      <c r="Q20" s="250"/>
      <c r="R20" s="250"/>
      <c r="S20" s="250"/>
      <c r="T20" s="621"/>
      <c r="U20" s="622"/>
      <c r="V20" s="588"/>
    </row>
    <row r="21" spans="1:22" s="406" customFormat="1" ht="24.75" customHeight="1" hidden="1">
      <c r="A21" s="403"/>
      <c r="B21" s="431" t="s">
        <v>351</v>
      </c>
      <c r="C21" s="445" t="s">
        <v>365</v>
      </c>
      <c r="D21" s="446">
        <v>84515234</v>
      </c>
      <c r="E21" s="253">
        <f>D21*F21/100</f>
        <v>0</v>
      </c>
      <c r="F21" s="254">
        <v>0</v>
      </c>
      <c r="G21" s="253">
        <f>D21-E21</f>
        <v>84515234</v>
      </c>
      <c r="H21" s="447">
        <v>100</v>
      </c>
      <c r="I21" s="256">
        <v>86530924</v>
      </c>
      <c r="J21" s="256">
        <f>I21*K21/100</f>
        <v>0</v>
      </c>
      <c r="K21" s="256">
        <v>0</v>
      </c>
      <c r="L21" s="256">
        <f>I21-J21</f>
        <v>86530924</v>
      </c>
      <c r="M21" s="256">
        <f>100-K21</f>
        <v>100</v>
      </c>
      <c r="N21" s="258">
        <f>64758576+30633196</f>
        <v>95391772</v>
      </c>
      <c r="O21" s="258">
        <v>120052908</v>
      </c>
      <c r="P21" s="258"/>
      <c r="Q21" s="258"/>
      <c r="R21" s="258"/>
      <c r="S21" s="258"/>
      <c r="T21" s="623"/>
      <c r="U21" s="624"/>
      <c r="V21" s="625"/>
    </row>
    <row r="22" spans="1:22" ht="15.75" hidden="1">
      <c r="A22" s="402"/>
      <c r="B22" s="427"/>
      <c r="C22" s="287"/>
      <c r="D22" s="288"/>
      <c r="E22" s="289"/>
      <c r="F22" s="290"/>
      <c r="G22" s="289"/>
      <c r="H22" s="290"/>
      <c r="I22" s="291"/>
      <c r="J22" s="292"/>
      <c r="K22" s="292"/>
      <c r="L22" s="292"/>
      <c r="M22" s="292"/>
      <c r="N22" s="293"/>
      <c r="O22" s="293"/>
      <c r="P22" s="293"/>
      <c r="Q22" s="293"/>
      <c r="R22" s="293"/>
      <c r="S22" s="293"/>
      <c r="T22" s="621"/>
      <c r="U22" s="622"/>
      <c r="V22" s="588"/>
    </row>
    <row r="23" spans="1:22" ht="3" customHeight="1">
      <c r="A23" s="402"/>
      <c r="B23" s="427"/>
      <c r="C23" s="287"/>
      <c r="D23" s="288"/>
      <c r="E23" s="289"/>
      <c r="F23" s="290"/>
      <c r="G23" s="289"/>
      <c r="H23" s="290"/>
      <c r="I23" s="291"/>
      <c r="J23" s="292"/>
      <c r="K23" s="292"/>
      <c r="L23" s="292"/>
      <c r="M23" s="292"/>
      <c r="N23" s="293"/>
      <c r="O23" s="293"/>
      <c r="P23" s="293"/>
      <c r="Q23" s="293"/>
      <c r="R23" s="293"/>
      <c r="S23" s="293"/>
      <c r="T23" s="621"/>
      <c r="U23" s="622"/>
      <c r="V23" s="588"/>
    </row>
    <row r="24" spans="1:22" s="404" customFormat="1" ht="35.25" customHeight="1">
      <c r="A24" s="394"/>
      <c r="B24" s="427" t="s">
        <v>351</v>
      </c>
      <c r="C24" s="282" t="s">
        <v>192</v>
      </c>
      <c r="D24" s="298">
        <f>SUM(D25:D29)</f>
        <v>3160621132</v>
      </c>
      <c r="E24" s="298">
        <f>SUM(E25:E29)</f>
        <v>3160621132</v>
      </c>
      <c r="F24" s="298">
        <f>SUM(F25:F29)</f>
        <v>500</v>
      </c>
      <c r="G24" s="298">
        <f>SUM(G25:G29)</f>
        <v>0</v>
      </c>
      <c r="H24" s="298">
        <f>SUM(H25:H29)</f>
        <v>0</v>
      </c>
      <c r="I24" s="299">
        <f aca="true" t="shared" si="1" ref="I24:S24">SUM(I25:I32)</f>
        <v>3105156867</v>
      </c>
      <c r="J24" s="299">
        <f t="shared" si="1"/>
        <v>3105156867</v>
      </c>
      <c r="K24" s="299">
        <f t="shared" si="1"/>
        <v>600</v>
      </c>
      <c r="L24" s="299">
        <f t="shared" si="1"/>
        <v>0</v>
      </c>
      <c r="M24" s="299">
        <f t="shared" si="1"/>
        <v>100</v>
      </c>
      <c r="N24" s="299">
        <f t="shared" si="1"/>
        <v>3028413136</v>
      </c>
      <c r="O24" s="299">
        <f t="shared" si="1"/>
        <v>2781681903</v>
      </c>
      <c r="P24" s="299">
        <f t="shared" si="1"/>
        <v>2666838567</v>
      </c>
      <c r="Q24" s="299">
        <f>SUM(Q25:Q32)</f>
        <v>1747332000</v>
      </c>
      <c r="R24" s="299">
        <f>SUM(R25:R32)</f>
        <v>2360150245</v>
      </c>
      <c r="S24" s="299">
        <f t="shared" si="1"/>
        <v>2517278687</v>
      </c>
      <c r="T24" s="613">
        <f>S24/R24</f>
        <v>1.0665756098930048</v>
      </c>
      <c r="U24" s="626"/>
      <c r="V24" s="627"/>
    </row>
    <row r="25" spans="1:22" ht="16.5" customHeight="1">
      <c r="A25" s="402"/>
      <c r="B25" s="427" t="s">
        <v>174</v>
      </c>
      <c r="C25" s="249" t="s">
        <v>301</v>
      </c>
      <c r="D25" s="300">
        <f>420951333+62900000+179860000</f>
        <v>663711333</v>
      </c>
      <c r="E25" s="301">
        <f>D25*F25/100</f>
        <v>663711333</v>
      </c>
      <c r="F25" s="302">
        <v>100</v>
      </c>
      <c r="G25" s="301">
        <f>D25-E25</f>
        <v>0</v>
      </c>
      <c r="H25" s="302">
        <v>0</v>
      </c>
      <c r="I25" s="303">
        <v>738905000</v>
      </c>
      <c r="J25" s="304">
        <f>I25*K25/100</f>
        <v>738905000</v>
      </c>
      <c r="K25" s="304">
        <v>100</v>
      </c>
      <c r="L25" s="304">
        <f>I25-J25</f>
        <v>0</v>
      </c>
      <c r="M25" s="304">
        <f aca="true" t="shared" si="2" ref="M25:M31">100-K25</f>
        <v>0</v>
      </c>
      <c r="N25" s="250">
        <v>669736000</v>
      </c>
      <c r="O25" s="250">
        <v>649618333</v>
      </c>
      <c r="P25" s="250">
        <f>445873333+227323333</f>
        <v>673196666</v>
      </c>
      <c r="Q25" s="250">
        <f>602272000+163744000+304912000+151776000+129960000+65412000+329256000</f>
        <v>1747332000</v>
      </c>
      <c r="R25" s="250">
        <f>1699549654+201170667+344890560+114539364</f>
        <v>2360150245</v>
      </c>
      <c r="S25" s="250">
        <f>874134400+265200000+447170400+11308500+133800000+513333+164220000+210000+84116667+21120000+16718000+263519040+235248347</f>
        <v>2517278687</v>
      </c>
      <c r="T25" s="621">
        <f>S25/R25</f>
        <v>1.0665756098930048</v>
      </c>
      <c r="U25" s="622"/>
      <c r="V25" s="588"/>
    </row>
    <row r="26" spans="1:22" s="406" customFormat="1" ht="31.5" customHeight="1" hidden="1">
      <c r="A26" s="405"/>
      <c r="B26" s="431" t="s">
        <v>375</v>
      </c>
      <c r="C26" s="259" t="s">
        <v>630</v>
      </c>
      <c r="D26" s="423">
        <f>458048000+476858667+258157333+59037333+9660000+47260000+109140000+67235000+49725000+56780000+136850000+29070000+30855000+77945000+4675000</f>
        <v>1871296333</v>
      </c>
      <c r="E26" s="450">
        <f>D26*F26/100</f>
        <v>1871296333</v>
      </c>
      <c r="F26" s="451">
        <v>100</v>
      </c>
      <c r="G26" s="450">
        <f>D26-E26</f>
        <v>0</v>
      </c>
      <c r="H26" s="451">
        <v>0</v>
      </c>
      <c r="I26" s="424">
        <f>1351415000+405535000+10115000</f>
        <v>1767065000</v>
      </c>
      <c r="J26" s="452">
        <f>I26*K26/100</f>
        <v>1767065000</v>
      </c>
      <c r="K26" s="452">
        <v>100</v>
      </c>
      <c r="L26" s="452">
        <f>I26-J26</f>
        <v>0</v>
      </c>
      <c r="M26" s="452">
        <f t="shared" si="2"/>
        <v>0</v>
      </c>
      <c r="N26" s="258">
        <f>1306132668+396607334+10356666</f>
        <v>1713096668</v>
      </c>
      <c r="O26" s="258">
        <f>1140925002+357435001+10496667+93216667</f>
        <v>1602073337</v>
      </c>
      <c r="P26" s="258">
        <f>178286667+89300000+94940000+187216667+191760000+90475000+44650000+51543333+95096667+100266667+127996667+153533333+61100000+83268333+7990000+3525000+55773333+8616667+940000+26946667+4308333+470000+914667+392000+1280533+548800+1685600+744800</f>
        <v>1663569734</v>
      </c>
      <c r="Q26" s="258"/>
      <c r="R26" s="258"/>
      <c r="S26" s="258"/>
      <c r="T26" s="623"/>
      <c r="U26" s="628"/>
      <c r="V26" s="625"/>
    </row>
    <row r="27" spans="1:22" ht="21.75" customHeight="1" hidden="1">
      <c r="A27" s="402"/>
      <c r="B27" s="427" t="s">
        <v>376</v>
      </c>
      <c r="C27" s="249" t="s">
        <v>420</v>
      </c>
      <c r="D27" s="300">
        <f>866133+2412800+4423467+9651200+3619200+21993600+16704000+4454400+28211200+14848000+1024000+1280000+2176000+640000+2240000+2752000+1152000+6016000+3648000</f>
        <v>128112000</v>
      </c>
      <c r="E27" s="301">
        <f>D27*F27/100</f>
        <v>128112000</v>
      </c>
      <c r="F27" s="302">
        <v>100</v>
      </c>
      <c r="G27" s="301">
        <f>D27-E27</f>
        <v>0</v>
      </c>
      <c r="H27" s="302">
        <v>0</v>
      </c>
      <c r="I27" s="303">
        <f>480000+240000+288000+288000+11776000+6016000+35968000+17408000+1104000</f>
        <v>73568000</v>
      </c>
      <c r="J27" s="304">
        <f>I27*K27/100</f>
        <v>73568000</v>
      </c>
      <c r="K27" s="304">
        <v>100</v>
      </c>
      <c r="L27" s="304">
        <f>I27-J27</f>
        <v>0</v>
      </c>
      <c r="M27" s="304">
        <f t="shared" si="2"/>
        <v>0</v>
      </c>
      <c r="N27" s="250">
        <v>77350466</v>
      </c>
      <c r="O27" s="250">
        <v>82969600</v>
      </c>
      <c r="P27" s="305">
        <f>746667+298667+1075200+448000+11229867+6570667+32017067+15769600+7840000+3920000</f>
        <v>79915735</v>
      </c>
      <c r="Q27" s="305"/>
      <c r="R27" s="305"/>
      <c r="S27" s="305"/>
      <c r="T27" s="621"/>
      <c r="U27" s="622"/>
      <c r="V27" s="588"/>
    </row>
    <row r="28" spans="1:22" ht="21" customHeight="1" hidden="1">
      <c r="A28" s="402"/>
      <c r="B28" s="427" t="s">
        <v>142</v>
      </c>
      <c r="C28" s="249" t="s">
        <v>407</v>
      </c>
      <c r="D28" s="300">
        <f>65170000+9225000+32655000+8220000</f>
        <v>115270000</v>
      </c>
      <c r="E28" s="301">
        <f>D28*F28/100</f>
        <v>115270000</v>
      </c>
      <c r="F28" s="302">
        <v>100</v>
      </c>
      <c r="G28" s="301">
        <f>D28-E28</f>
        <v>0</v>
      </c>
      <c r="H28" s="302">
        <v>0</v>
      </c>
      <c r="I28" s="303">
        <f>93983334+58726667</f>
        <v>152710001</v>
      </c>
      <c r="J28" s="304">
        <f>I28*K28/100</f>
        <v>152710001</v>
      </c>
      <c r="K28" s="304">
        <v>100</v>
      </c>
      <c r="L28" s="304">
        <f>I28-J28</f>
        <v>0</v>
      </c>
      <c r="M28" s="304">
        <f t="shared" si="2"/>
        <v>0</v>
      </c>
      <c r="N28" s="250">
        <f>61969333+39732000+57845667</f>
        <v>159547000</v>
      </c>
      <c r="O28" s="250">
        <f>56478333+34020000+51091500</f>
        <v>141589833</v>
      </c>
      <c r="P28" s="250">
        <f>64233333+12690000+32273333+6580000</f>
        <v>115776666</v>
      </c>
      <c r="Q28" s="250"/>
      <c r="R28" s="250"/>
      <c r="S28" s="250"/>
      <c r="T28" s="621"/>
      <c r="U28" s="622"/>
      <c r="V28" s="588"/>
    </row>
    <row r="29" spans="1:22" ht="33" customHeight="1" hidden="1">
      <c r="A29" s="405"/>
      <c r="B29" s="431" t="s">
        <v>377</v>
      </c>
      <c r="C29" s="295" t="s">
        <v>308</v>
      </c>
      <c r="D29" s="300">
        <f>457719466-115270000-128112000+167894000</f>
        <v>382231466</v>
      </c>
      <c r="E29" s="301">
        <f>D29*F29/100</f>
        <v>382231466</v>
      </c>
      <c r="F29" s="302">
        <v>100</v>
      </c>
      <c r="G29" s="301">
        <f>D29-E29</f>
        <v>0</v>
      </c>
      <c r="H29" s="302">
        <v>0</v>
      </c>
      <c r="I29" s="303">
        <f>92930000+5368533+4050000+98193333+3388000+168979000</f>
        <v>372908866</v>
      </c>
      <c r="J29" s="304">
        <f>I29*K29/100</f>
        <v>372908866</v>
      </c>
      <c r="K29" s="304">
        <v>100</v>
      </c>
      <c r="L29" s="304">
        <f>I29-J29</f>
        <v>0</v>
      </c>
      <c r="M29" s="304">
        <f t="shared" si="2"/>
        <v>0</v>
      </c>
      <c r="N29" s="250">
        <f>98808668+5865333+10634667+87281334+3144000+202949000</f>
        <v>408683002</v>
      </c>
      <c r="O29" s="250">
        <f>5200534+11173333+78805333+4314600+205937000</f>
        <v>305430800</v>
      </c>
      <c r="P29" s="305">
        <f>7653333+3826667+47829333+24597333+5205333+2666667+21840000+11690000+3835200+1881900</f>
        <v>131025766</v>
      </c>
      <c r="Q29" s="305"/>
      <c r="R29" s="305"/>
      <c r="S29" s="305"/>
      <c r="T29" s="621"/>
      <c r="U29" s="622"/>
      <c r="V29" s="588"/>
    </row>
    <row r="30" spans="1:22" ht="21" customHeight="1" hidden="1">
      <c r="A30" s="402"/>
      <c r="B30" s="427" t="s">
        <v>378</v>
      </c>
      <c r="C30" s="249" t="s">
        <v>408</v>
      </c>
      <c r="D30" s="300"/>
      <c r="E30" s="244"/>
      <c r="F30" s="245"/>
      <c r="G30" s="244"/>
      <c r="H30" s="245">
        <v>0</v>
      </c>
      <c r="I30" s="303"/>
      <c r="J30" s="247"/>
      <c r="K30" s="247"/>
      <c r="L30" s="247"/>
      <c r="M30" s="247">
        <f t="shared" si="2"/>
        <v>100</v>
      </c>
      <c r="N30" s="305"/>
      <c r="O30" s="306" t="s">
        <v>409</v>
      </c>
      <c r="P30" s="305">
        <f>3282000+72000</f>
        <v>3354000</v>
      </c>
      <c r="Q30" s="305"/>
      <c r="R30" s="305"/>
      <c r="S30" s="305"/>
      <c r="T30" s="621"/>
      <c r="U30" s="622"/>
      <c r="V30" s="588"/>
    </row>
    <row r="31" spans="1:22" ht="21.75" customHeight="1" hidden="1">
      <c r="A31" s="402"/>
      <c r="B31" s="427"/>
      <c r="C31" s="249" t="s">
        <v>410</v>
      </c>
      <c r="D31" s="300"/>
      <c r="E31" s="244"/>
      <c r="F31" s="245">
        <v>100</v>
      </c>
      <c r="G31" s="244">
        <f>D31-E31</f>
        <v>0</v>
      </c>
      <c r="H31" s="245">
        <v>0</v>
      </c>
      <c r="I31" s="303"/>
      <c r="J31" s="247"/>
      <c r="K31" s="247">
        <v>100</v>
      </c>
      <c r="L31" s="247">
        <f>I31-J31</f>
        <v>0</v>
      </c>
      <c r="M31" s="247">
        <f t="shared" si="2"/>
        <v>0</v>
      </c>
      <c r="N31" s="305"/>
      <c r="O31" s="306" t="s">
        <v>409</v>
      </c>
      <c r="P31" s="305"/>
      <c r="Q31" s="305"/>
      <c r="R31" s="305"/>
      <c r="S31" s="305"/>
      <c r="T31" s="629"/>
      <c r="U31" s="630"/>
      <c r="V31" s="588"/>
    </row>
    <row r="32" spans="1:22" ht="21.75" customHeight="1">
      <c r="A32" s="402"/>
      <c r="B32" s="427"/>
      <c r="C32" s="287"/>
      <c r="D32" s="288"/>
      <c r="E32" s="289"/>
      <c r="F32" s="290"/>
      <c r="G32" s="289"/>
      <c r="H32" s="290"/>
      <c r="I32" s="291"/>
      <c r="J32" s="292"/>
      <c r="K32" s="292"/>
      <c r="L32" s="292"/>
      <c r="M32" s="292"/>
      <c r="N32" s="293"/>
      <c r="O32" s="293"/>
      <c r="P32" s="293"/>
      <c r="Q32" s="293"/>
      <c r="R32" s="293"/>
      <c r="S32" s="293"/>
      <c r="T32" s="621"/>
      <c r="U32" s="622"/>
      <c r="V32" s="588"/>
    </row>
    <row r="33" spans="1:22" s="401" customFormat="1" ht="15.75">
      <c r="A33" s="394"/>
      <c r="B33" s="427" t="s">
        <v>503</v>
      </c>
      <c r="C33" s="282" t="s">
        <v>193</v>
      </c>
      <c r="D33" s="283"/>
      <c r="E33" s="284"/>
      <c r="F33" s="285"/>
      <c r="G33" s="284"/>
      <c r="H33" s="285"/>
      <c r="I33" s="307">
        <f aca="true" t="shared" si="3" ref="I33:S33">SUM(I34:I40)</f>
        <v>1200180314</v>
      </c>
      <c r="J33" s="307">
        <f t="shared" si="3"/>
        <v>285015157.647</v>
      </c>
      <c r="K33" s="307">
        <f t="shared" si="3"/>
        <v>114.89</v>
      </c>
      <c r="L33" s="307">
        <f t="shared" si="3"/>
        <v>915165156.3529999</v>
      </c>
      <c r="M33" s="307">
        <f t="shared" si="3"/>
        <v>485.11</v>
      </c>
      <c r="N33" s="307">
        <f t="shared" si="3"/>
        <v>1142132232</v>
      </c>
      <c r="O33" s="307">
        <f t="shared" si="3"/>
        <v>938598183</v>
      </c>
      <c r="P33" s="307">
        <f t="shared" si="3"/>
        <v>702531018</v>
      </c>
      <c r="Q33" s="307">
        <f>SUM(Q34:Q40)</f>
        <v>655828134</v>
      </c>
      <c r="R33" s="307">
        <f>SUM(R34:R40)</f>
        <v>555247131</v>
      </c>
      <c r="S33" s="307">
        <f t="shared" si="3"/>
        <v>436268200</v>
      </c>
      <c r="T33" s="613">
        <f>S33/R33</f>
        <v>0.7857189630395407</v>
      </c>
      <c r="U33" s="619"/>
      <c r="V33" s="620"/>
    </row>
    <row r="34" spans="1:22" s="406" customFormat="1" ht="20.25" customHeight="1">
      <c r="A34" s="405"/>
      <c r="B34" s="431" t="s">
        <v>504</v>
      </c>
      <c r="C34" s="251" t="s">
        <v>184</v>
      </c>
      <c r="D34" s="423">
        <v>491574408</v>
      </c>
      <c r="E34" s="253">
        <f aca="true" t="shared" si="4" ref="E34:E39">D34*F34/100</f>
        <v>0</v>
      </c>
      <c r="F34" s="254">
        <v>0</v>
      </c>
      <c r="G34" s="253">
        <f aca="true" t="shared" si="5" ref="G34:G39">D34-E34</f>
        <v>491574408</v>
      </c>
      <c r="H34" s="254">
        <v>100</v>
      </c>
      <c r="I34" s="424">
        <v>576703974</v>
      </c>
      <c r="J34" s="256">
        <f aca="true" t="shared" si="6" ref="J34:J39">I34*K34/100</f>
        <v>0</v>
      </c>
      <c r="K34" s="256">
        <v>0</v>
      </c>
      <c r="L34" s="256">
        <f aca="true" t="shared" si="7" ref="L34:L39">I34-J34</f>
        <v>576703974</v>
      </c>
      <c r="M34" s="256">
        <v>100</v>
      </c>
      <c r="N34" s="425">
        <v>559239135</v>
      </c>
      <c r="O34" s="425">
        <v>564318048</v>
      </c>
      <c r="P34" s="425">
        <v>296486422</v>
      </c>
      <c r="Q34" s="425">
        <v>226496974</v>
      </c>
      <c r="R34" s="425">
        <v>114983021</v>
      </c>
      <c r="S34" s="425"/>
      <c r="T34" s="631">
        <f>S34/R34</f>
        <v>0</v>
      </c>
      <c r="U34" s="624"/>
      <c r="V34" s="625"/>
    </row>
    <row r="35" spans="1:22" s="406" customFormat="1" ht="17.25" customHeight="1" hidden="1">
      <c r="A35" s="405"/>
      <c r="B35" s="431"/>
      <c r="C35" s="251" t="s">
        <v>530</v>
      </c>
      <c r="D35" s="423">
        <v>128275600</v>
      </c>
      <c r="E35" s="253">
        <f t="shared" si="4"/>
        <v>0</v>
      </c>
      <c r="F35" s="254">
        <v>0</v>
      </c>
      <c r="G35" s="253">
        <f t="shared" si="5"/>
        <v>128275600</v>
      </c>
      <c r="H35" s="254">
        <v>100</v>
      </c>
      <c r="I35" s="424"/>
      <c r="J35" s="256">
        <f t="shared" si="6"/>
        <v>0</v>
      </c>
      <c r="K35" s="256">
        <v>0</v>
      </c>
      <c r="L35" s="256">
        <f t="shared" si="7"/>
        <v>0</v>
      </c>
      <c r="M35" s="256">
        <v>100</v>
      </c>
      <c r="N35" s="425"/>
      <c r="O35" s="425"/>
      <c r="P35" s="425"/>
      <c r="Q35" s="425"/>
      <c r="R35" s="425"/>
      <c r="S35" s="425"/>
      <c r="T35" s="631" t="e">
        <f>S35/R35</f>
        <v>#DIV/0!</v>
      </c>
      <c r="U35" s="624"/>
      <c r="V35" s="625"/>
    </row>
    <row r="36" spans="1:22" s="406" customFormat="1" ht="23.25" customHeight="1">
      <c r="A36" s="405"/>
      <c r="B36" s="431" t="s">
        <v>505</v>
      </c>
      <c r="C36" s="259" t="s">
        <v>185</v>
      </c>
      <c r="D36" s="423">
        <v>221681386</v>
      </c>
      <c r="E36" s="253">
        <f t="shared" si="4"/>
        <v>126358390.02</v>
      </c>
      <c r="F36" s="254">
        <f>100-H36</f>
        <v>57</v>
      </c>
      <c r="G36" s="253">
        <f t="shared" si="5"/>
        <v>95322995.98</v>
      </c>
      <c r="H36" s="254">
        <v>43</v>
      </c>
      <c r="I36" s="424">
        <v>219505230</v>
      </c>
      <c r="J36" s="256">
        <f t="shared" si="6"/>
        <v>127071577.64700001</v>
      </c>
      <c r="K36" s="256">
        <v>57.89</v>
      </c>
      <c r="L36" s="256">
        <f t="shared" si="7"/>
        <v>92433652.35299999</v>
      </c>
      <c r="M36" s="256">
        <f>100-K36</f>
        <v>42.11</v>
      </c>
      <c r="N36" s="425">
        <v>188254216</v>
      </c>
      <c r="O36" s="425">
        <v>114098135</v>
      </c>
      <c r="P36" s="425">
        <f>28444148+28444148+2099400+44896960+12456000+14615700+1622400+6651840</f>
        <v>139230596</v>
      </c>
      <c r="Q36" s="425">
        <f>28496880+28496880+2099400+47056000+11020000+15805000+1000000+7600000</f>
        <v>141574160</v>
      </c>
      <c r="R36" s="425">
        <f>440264110-276696000-18676980-4446900</f>
        <v>140444230</v>
      </c>
      <c r="S36" s="425">
        <f>28562450*2+2099400+49824000+12325000+14170000+2500000+7200000</f>
        <v>145243300</v>
      </c>
      <c r="T36" s="631">
        <f>S36/R36</f>
        <v>1.0341706455295459</v>
      </c>
      <c r="U36" s="624"/>
      <c r="V36" s="625"/>
    </row>
    <row r="37" spans="1:22" s="406" customFormat="1" ht="21.75" customHeight="1" hidden="1">
      <c r="A37" s="405"/>
      <c r="B37" s="431"/>
      <c r="C37" s="251" t="s">
        <v>531</v>
      </c>
      <c r="D37" s="423">
        <v>126602440</v>
      </c>
      <c r="E37" s="253">
        <f t="shared" si="4"/>
        <v>0</v>
      </c>
      <c r="F37" s="254">
        <v>0</v>
      </c>
      <c r="G37" s="253">
        <f t="shared" si="5"/>
        <v>126602440</v>
      </c>
      <c r="H37" s="254">
        <v>100</v>
      </c>
      <c r="I37" s="424">
        <v>126877110</v>
      </c>
      <c r="J37" s="256">
        <f t="shared" si="6"/>
        <v>0</v>
      </c>
      <c r="K37" s="256">
        <v>0</v>
      </c>
      <c r="L37" s="256">
        <f t="shared" si="7"/>
        <v>126877110</v>
      </c>
      <c r="M37" s="256">
        <f>100-K37</f>
        <v>100</v>
      </c>
      <c r="N37" s="425">
        <v>120233581</v>
      </c>
      <c r="O37" s="425"/>
      <c r="P37" s="425"/>
      <c r="Q37" s="425"/>
      <c r="R37" s="425"/>
      <c r="S37" s="425"/>
      <c r="T37" s="631"/>
      <c r="U37" s="624"/>
      <c r="V37" s="625"/>
    </row>
    <row r="38" spans="1:22" s="406" customFormat="1" ht="15.75" hidden="1">
      <c r="A38" s="405"/>
      <c r="B38" s="431"/>
      <c r="C38" s="251" t="s">
        <v>532</v>
      </c>
      <c r="D38" s="423"/>
      <c r="E38" s="253">
        <f t="shared" si="4"/>
        <v>0</v>
      </c>
      <c r="F38" s="254">
        <f>100-H38</f>
        <v>57</v>
      </c>
      <c r="G38" s="253">
        <f t="shared" si="5"/>
        <v>0</v>
      </c>
      <c r="H38" s="254">
        <v>43</v>
      </c>
      <c r="I38" s="424"/>
      <c r="J38" s="256">
        <f t="shared" si="6"/>
        <v>0</v>
      </c>
      <c r="K38" s="256"/>
      <c r="L38" s="256">
        <f t="shared" si="7"/>
        <v>0</v>
      </c>
      <c r="M38" s="256">
        <f>100-K38</f>
        <v>100</v>
      </c>
      <c r="N38" s="425"/>
      <c r="O38" s="425"/>
      <c r="P38" s="425"/>
      <c r="Q38" s="425"/>
      <c r="R38" s="425"/>
      <c r="S38" s="425"/>
      <c r="T38" s="631" t="e">
        <f>R38/P38</f>
        <v>#DIV/0!</v>
      </c>
      <c r="U38" s="624"/>
      <c r="V38" s="625"/>
    </row>
    <row r="39" spans="1:22" s="406" customFormat="1" ht="21.75" customHeight="1">
      <c r="A39" s="405"/>
      <c r="B39" s="431" t="s">
        <v>143</v>
      </c>
      <c r="C39" s="259" t="s">
        <v>302</v>
      </c>
      <c r="D39" s="423">
        <v>282761000</v>
      </c>
      <c r="E39" s="253">
        <f t="shared" si="4"/>
        <v>161173770</v>
      </c>
      <c r="F39" s="254">
        <f>100-H39</f>
        <v>57</v>
      </c>
      <c r="G39" s="253">
        <f t="shared" si="5"/>
        <v>121587230</v>
      </c>
      <c r="H39" s="254">
        <v>43</v>
      </c>
      <c r="I39" s="424">
        <f>274594000+2500000</f>
        <v>277094000</v>
      </c>
      <c r="J39" s="256">
        <f t="shared" si="6"/>
        <v>157943580</v>
      </c>
      <c r="K39" s="256">
        <v>57</v>
      </c>
      <c r="L39" s="256">
        <f t="shared" si="7"/>
        <v>119150420</v>
      </c>
      <c r="M39" s="256">
        <f>100-K39</f>
        <v>43</v>
      </c>
      <c r="N39" s="425">
        <v>274405300</v>
      </c>
      <c r="O39" s="425">
        <v>260182000</v>
      </c>
      <c r="P39" s="425">
        <v>266814000</v>
      </c>
      <c r="Q39" s="425">
        <f>6120000+276696000+4941000</f>
        <v>287757000</v>
      </c>
      <c r="R39" s="425">
        <f>276696000+18676980+4446900</f>
        <v>299819880</v>
      </c>
      <c r="S39" s="425">
        <f>286578000+4446900</f>
        <v>291024900</v>
      </c>
      <c r="T39" s="631">
        <f>S39/R39</f>
        <v>0.9706657877389585</v>
      </c>
      <c r="U39" s="624"/>
      <c r="V39" s="625"/>
    </row>
    <row r="40" spans="1:22" ht="18" customHeight="1">
      <c r="A40" s="403"/>
      <c r="B40" s="431"/>
      <c r="C40" s="295"/>
      <c r="D40" s="296"/>
      <c r="E40" s="244"/>
      <c r="F40" s="245"/>
      <c r="G40" s="244"/>
      <c r="H40" s="297"/>
      <c r="I40" s="308"/>
      <c r="J40" s="247"/>
      <c r="K40" s="247"/>
      <c r="L40" s="247"/>
      <c r="M40" s="247"/>
      <c r="N40" s="248"/>
      <c r="O40" s="248"/>
      <c r="P40" s="248"/>
      <c r="Q40" s="248"/>
      <c r="R40" s="248"/>
      <c r="S40" s="248"/>
      <c r="T40" s="613"/>
      <c r="U40" s="622"/>
      <c r="V40" s="588"/>
    </row>
    <row r="41" spans="1:22" ht="15.75">
      <c r="A41" s="394"/>
      <c r="B41" s="427" t="s">
        <v>144</v>
      </c>
      <c r="C41" s="242" t="s">
        <v>189</v>
      </c>
      <c r="D41" s="243"/>
      <c r="E41" s="244">
        <f>D41*F41/100</f>
        <v>0</v>
      </c>
      <c r="F41" s="245">
        <v>100</v>
      </c>
      <c r="G41" s="244">
        <f>D41-E41</f>
        <v>0</v>
      </c>
      <c r="H41" s="245">
        <v>0</v>
      </c>
      <c r="I41" s="246"/>
      <c r="J41" s="247">
        <f>I41*K41/100</f>
        <v>0</v>
      </c>
      <c r="K41" s="247">
        <v>100</v>
      </c>
      <c r="L41" s="247">
        <f>I41-J41</f>
        <v>0</v>
      </c>
      <c r="M41" s="247">
        <f>100-K41</f>
        <v>0</v>
      </c>
      <c r="N41" s="248"/>
      <c r="O41" s="248">
        <f>SUM(O43:O44)</f>
        <v>0</v>
      </c>
      <c r="P41" s="248">
        <f>SUM(P43:P44)</f>
        <v>0</v>
      </c>
      <c r="Q41" s="248">
        <f>SUM(Q42:Q43)</f>
        <v>86172000</v>
      </c>
      <c r="R41" s="248">
        <f>SUM(R42:R43)</f>
        <v>112557200</v>
      </c>
      <c r="S41" s="248">
        <f>SUM(S42:S43)</f>
        <v>111178400</v>
      </c>
      <c r="T41" s="613">
        <f>S41/R41</f>
        <v>0.9877502283283521</v>
      </c>
      <c r="U41" s="622"/>
      <c r="V41" s="588"/>
    </row>
    <row r="42" spans="1:22" s="406" customFormat="1" ht="21.75" customHeight="1">
      <c r="A42" s="403"/>
      <c r="B42" s="431" t="s">
        <v>145</v>
      </c>
      <c r="C42" s="251" t="s">
        <v>206</v>
      </c>
      <c r="D42" s="252"/>
      <c r="E42" s="253"/>
      <c r="F42" s="254"/>
      <c r="G42" s="253"/>
      <c r="H42" s="254"/>
      <c r="I42" s="255"/>
      <c r="J42" s="256"/>
      <c r="K42" s="256"/>
      <c r="L42" s="256"/>
      <c r="M42" s="256"/>
      <c r="N42" s="257"/>
      <c r="O42" s="257"/>
      <c r="P42" s="257"/>
      <c r="Q42" s="258">
        <v>46172000</v>
      </c>
      <c r="R42" s="258">
        <v>46257200</v>
      </c>
      <c r="S42" s="258">
        <v>46278400</v>
      </c>
      <c r="T42" s="623"/>
      <c r="U42" s="624"/>
      <c r="V42" s="625"/>
    </row>
    <row r="43" spans="1:22" s="406" customFormat="1" ht="21.75" customHeight="1">
      <c r="A43" s="403"/>
      <c r="B43" s="431" t="s">
        <v>146</v>
      </c>
      <c r="C43" s="259" t="s">
        <v>303</v>
      </c>
      <c r="D43" s="252"/>
      <c r="E43" s="253">
        <f>D43*F43/100</f>
        <v>0</v>
      </c>
      <c r="F43" s="254">
        <v>100</v>
      </c>
      <c r="G43" s="253">
        <f>D43-E43</f>
        <v>0</v>
      </c>
      <c r="H43" s="254">
        <v>0</v>
      </c>
      <c r="I43" s="255"/>
      <c r="J43" s="256">
        <f>I43*K43/100</f>
        <v>0</v>
      </c>
      <c r="K43" s="256">
        <v>100</v>
      </c>
      <c r="L43" s="256">
        <f>I43-J43</f>
        <v>0</v>
      </c>
      <c r="M43" s="256">
        <f>100-K43</f>
        <v>0</v>
      </c>
      <c r="N43" s="257"/>
      <c r="O43" s="258"/>
      <c r="P43" s="258"/>
      <c r="Q43" s="258">
        <v>40000000</v>
      </c>
      <c r="R43" s="258">
        <v>66300000</v>
      </c>
      <c r="S43" s="258">
        <v>64900000</v>
      </c>
      <c r="T43" s="631">
        <f>S43/R43</f>
        <v>0.9788838612368024</v>
      </c>
      <c r="U43" s="624"/>
      <c r="V43" s="625"/>
    </row>
    <row r="44" spans="1:22" ht="0.75" customHeight="1">
      <c r="A44" s="394"/>
      <c r="B44" s="427"/>
      <c r="C44" s="249"/>
      <c r="D44" s="243"/>
      <c r="E44" s="244"/>
      <c r="F44" s="245"/>
      <c r="G44" s="244"/>
      <c r="H44" s="245"/>
      <c r="I44" s="246"/>
      <c r="J44" s="247"/>
      <c r="K44" s="247"/>
      <c r="L44" s="247"/>
      <c r="M44" s="247"/>
      <c r="N44" s="248"/>
      <c r="O44" s="248"/>
      <c r="P44" s="248"/>
      <c r="Q44" s="248"/>
      <c r="R44" s="248"/>
      <c r="S44" s="248"/>
      <c r="T44" s="621"/>
      <c r="U44" s="622"/>
      <c r="V44" s="588"/>
    </row>
    <row r="45" spans="1:22" ht="15.75" hidden="1">
      <c r="A45" s="394"/>
      <c r="B45" s="427"/>
      <c r="C45" s="249"/>
      <c r="D45" s="243"/>
      <c r="E45" s="244"/>
      <c r="F45" s="245"/>
      <c r="G45" s="244"/>
      <c r="H45" s="245"/>
      <c r="I45" s="246"/>
      <c r="J45" s="247"/>
      <c r="K45" s="247"/>
      <c r="L45" s="247"/>
      <c r="M45" s="247"/>
      <c r="N45" s="248"/>
      <c r="O45" s="248"/>
      <c r="P45" s="248"/>
      <c r="Q45" s="248"/>
      <c r="R45" s="248"/>
      <c r="S45" s="248"/>
      <c r="T45" s="621"/>
      <c r="U45" s="622"/>
      <c r="V45" s="588"/>
    </row>
    <row r="46" spans="1:22" ht="15.75" hidden="1">
      <c r="A46" s="394"/>
      <c r="B46" s="427"/>
      <c r="C46" s="249"/>
      <c r="D46" s="243"/>
      <c r="E46" s="244">
        <f>D46*F46/100</f>
        <v>0</v>
      </c>
      <c r="F46" s="245">
        <v>0</v>
      </c>
      <c r="G46" s="244">
        <f>D46</f>
        <v>0</v>
      </c>
      <c r="H46" s="245">
        <v>100</v>
      </c>
      <c r="I46" s="246"/>
      <c r="J46" s="247">
        <f>I46*K46/100</f>
        <v>0</v>
      </c>
      <c r="K46" s="247">
        <v>0</v>
      </c>
      <c r="L46" s="247">
        <f>I46</f>
        <v>0</v>
      </c>
      <c r="M46" s="247">
        <v>100</v>
      </c>
      <c r="N46" s="248"/>
      <c r="O46" s="248"/>
      <c r="P46" s="248"/>
      <c r="Q46" s="248"/>
      <c r="R46" s="248"/>
      <c r="S46" s="248"/>
      <c r="T46" s="621"/>
      <c r="U46" s="622"/>
      <c r="V46" s="588"/>
    </row>
    <row r="47" spans="1:22" ht="3.75" customHeight="1">
      <c r="A47" s="394"/>
      <c r="B47" s="427"/>
      <c r="C47" s="249"/>
      <c r="D47" s="309"/>
      <c r="E47" s="244"/>
      <c r="F47" s="245"/>
      <c r="G47" s="244"/>
      <c r="H47" s="245"/>
      <c r="I47" s="294"/>
      <c r="J47" s="247"/>
      <c r="K47" s="247"/>
      <c r="L47" s="247"/>
      <c r="M47" s="247"/>
      <c r="N47" s="250"/>
      <c r="O47" s="250"/>
      <c r="P47" s="250"/>
      <c r="Q47" s="250"/>
      <c r="R47" s="250"/>
      <c r="S47" s="250"/>
      <c r="T47" s="621"/>
      <c r="U47" s="622"/>
      <c r="V47" s="588"/>
    </row>
    <row r="48" spans="1:22" s="407" customFormat="1" ht="15.75">
      <c r="A48" s="394"/>
      <c r="B48" s="427" t="s">
        <v>147</v>
      </c>
      <c r="C48" s="310" t="s">
        <v>194</v>
      </c>
      <c r="D48" s="311">
        <f>SUM(D34:D40)</f>
        <v>1250894834</v>
      </c>
      <c r="E48" s="311">
        <f>SUM(E34:E40)</f>
        <v>287532160.02</v>
      </c>
      <c r="F48" s="311">
        <f>SUM(F34:F40)</f>
        <v>171</v>
      </c>
      <c r="G48" s="311">
        <f>SUM(G34:G40)</f>
        <v>963362673.98</v>
      </c>
      <c r="H48" s="311">
        <f>SUM(H34:H40)</f>
        <v>429</v>
      </c>
      <c r="I48" s="312">
        <f aca="true" t="shared" si="8" ref="I48:N48">SUM(I13,I24,I33)</f>
        <v>4502487331</v>
      </c>
      <c r="J48" s="312">
        <f t="shared" si="8"/>
        <v>3390172024.647</v>
      </c>
      <c r="K48" s="312">
        <f t="shared" si="8"/>
        <v>714.89</v>
      </c>
      <c r="L48" s="312">
        <f t="shared" si="8"/>
        <v>1112091734.353</v>
      </c>
      <c r="M48" s="312">
        <f t="shared" si="8"/>
        <v>785.11</v>
      </c>
      <c r="N48" s="312">
        <f t="shared" si="8"/>
        <v>4367017408</v>
      </c>
      <c r="O48" s="312">
        <f>SUM(O13,O24,O33)+O41</f>
        <v>3919968519</v>
      </c>
      <c r="P48" s="312">
        <f>SUM(P13,P24,P33)+P41</f>
        <v>3710621912</v>
      </c>
      <c r="Q48" s="312">
        <f>SUM(Q13,Q24,Q33)+Q41</f>
        <v>2800993134</v>
      </c>
      <c r="R48" s="312">
        <f>SUM(R13,R24,R33)+R41</f>
        <v>3184072626</v>
      </c>
      <c r="S48" s="312">
        <f>SUM(S13,S24,S33)+S41</f>
        <v>3064725287</v>
      </c>
      <c r="T48" s="632">
        <f>S48/R48</f>
        <v>0.9625173942247887</v>
      </c>
      <c r="U48" s="633">
        <f>SUM(S14:S17,S25:S32,S34:S40)</f>
        <v>2953546887</v>
      </c>
      <c r="V48" s="634"/>
    </row>
    <row r="49" spans="1:22" ht="15.75" customHeight="1" hidden="1">
      <c r="A49" s="394"/>
      <c r="B49" s="427"/>
      <c r="C49" s="249"/>
      <c r="D49" s="309"/>
      <c r="E49" s="1388">
        <f>SUM(E48:G48)</f>
        <v>1250895005</v>
      </c>
      <c r="F49" s="1388"/>
      <c r="G49" s="1388"/>
      <c r="H49" s="313"/>
      <c r="I49" s="294"/>
      <c r="J49" s="1389">
        <f>SUM(J48:L48)</f>
        <v>4502264473.889999</v>
      </c>
      <c r="K49" s="1389"/>
      <c r="L49" s="1389"/>
      <c r="M49" s="314"/>
      <c r="N49" s="250"/>
      <c r="O49" s="250"/>
      <c r="P49" s="250"/>
      <c r="Q49" s="250"/>
      <c r="R49" s="250"/>
      <c r="S49" s="250"/>
      <c r="T49" s="621"/>
      <c r="U49" s="622"/>
      <c r="V49" s="588"/>
    </row>
    <row r="50" spans="1:22" ht="12" customHeight="1">
      <c r="A50" s="394"/>
      <c r="B50" s="427"/>
      <c r="C50" s="249"/>
      <c r="D50" s="309"/>
      <c r="E50" s="353"/>
      <c r="F50" s="353"/>
      <c r="G50" s="353"/>
      <c r="H50" s="313"/>
      <c r="I50" s="294"/>
      <c r="J50" s="314"/>
      <c r="K50" s="314"/>
      <c r="L50" s="314"/>
      <c r="M50" s="314"/>
      <c r="N50" s="250"/>
      <c r="O50" s="250"/>
      <c r="P50" s="250"/>
      <c r="Q50" s="250"/>
      <c r="R50" s="250"/>
      <c r="S50" s="250"/>
      <c r="T50" s="621"/>
      <c r="U50" s="622">
        <f>'[2]Közp.kv. 1005-109 BE'!$AD$69-'[2]Közp.kv. 1005-109 BE'!$AD$24-'[2]Közp.kv. 1005-109 BE'!$AD$25</f>
        <v>2953546887</v>
      </c>
      <c r="V50" s="588"/>
    </row>
    <row r="51" spans="1:22" ht="15" customHeight="1" hidden="1">
      <c r="A51" s="394"/>
      <c r="B51" s="427"/>
      <c r="C51" s="249"/>
      <c r="D51" s="309"/>
      <c r="E51" s="353"/>
      <c r="F51" s="353"/>
      <c r="G51" s="353"/>
      <c r="H51" s="313"/>
      <c r="I51" s="294"/>
      <c r="J51" s="314"/>
      <c r="K51" s="314"/>
      <c r="L51" s="314"/>
      <c r="M51" s="314"/>
      <c r="N51" s="250"/>
      <c r="O51" s="250"/>
      <c r="P51" s="250"/>
      <c r="Q51" s="250"/>
      <c r="R51" s="250"/>
      <c r="S51" s="250"/>
      <c r="T51" s="621"/>
      <c r="U51" s="622">
        <f>U48-U50</f>
        <v>0</v>
      </c>
      <c r="V51" s="588"/>
    </row>
    <row r="52" spans="1:22" ht="15.75" customHeight="1">
      <c r="A52" s="394"/>
      <c r="B52" s="427" t="s">
        <v>148</v>
      </c>
      <c r="C52" s="448" t="s">
        <v>585</v>
      </c>
      <c r="D52" s="309"/>
      <c r="E52" s="353"/>
      <c r="F52" s="353"/>
      <c r="G52" s="353"/>
      <c r="H52" s="313"/>
      <c r="I52" s="294"/>
      <c r="J52" s="314"/>
      <c r="K52" s="314"/>
      <c r="L52" s="314"/>
      <c r="M52" s="314"/>
      <c r="N52" s="250"/>
      <c r="O52" s="250"/>
      <c r="P52" s="250"/>
      <c r="Q52" s="250"/>
      <c r="R52" s="495">
        <v>135462315</v>
      </c>
      <c r="S52" s="495"/>
      <c r="T52" s="621"/>
      <c r="U52" s="622"/>
      <c r="V52" s="588"/>
    </row>
    <row r="53" spans="1:22" ht="9" customHeight="1">
      <c r="A53" s="394"/>
      <c r="B53" s="427"/>
      <c r="C53" s="249"/>
      <c r="D53" s="309"/>
      <c r="E53" s="353"/>
      <c r="F53" s="353"/>
      <c r="G53" s="353"/>
      <c r="H53" s="313"/>
      <c r="I53" s="294"/>
      <c r="J53" s="314"/>
      <c r="K53" s="314"/>
      <c r="L53" s="314"/>
      <c r="M53" s="314"/>
      <c r="N53" s="250"/>
      <c r="O53" s="250"/>
      <c r="P53" s="250"/>
      <c r="Q53" s="250"/>
      <c r="R53" s="250"/>
      <c r="S53" s="250"/>
      <c r="T53" s="621"/>
      <c r="U53" s="622"/>
      <c r="V53" s="588"/>
    </row>
    <row r="54" spans="1:22" ht="15.75" customHeight="1" hidden="1">
      <c r="A54" s="394"/>
      <c r="B54" s="427"/>
      <c r="C54" s="249"/>
      <c r="D54" s="309"/>
      <c r="E54" s="353"/>
      <c r="F54" s="353"/>
      <c r="G54" s="353"/>
      <c r="H54" s="313"/>
      <c r="I54" s="294"/>
      <c r="J54" s="314"/>
      <c r="K54" s="314"/>
      <c r="L54" s="314"/>
      <c r="M54" s="314"/>
      <c r="N54" s="250"/>
      <c r="O54" s="250"/>
      <c r="P54" s="250"/>
      <c r="Q54" s="250"/>
      <c r="R54" s="250"/>
      <c r="S54" s="250"/>
      <c r="T54" s="621"/>
      <c r="U54" s="622"/>
      <c r="V54" s="588"/>
    </row>
    <row r="55" spans="1:22" ht="15" customHeight="1" hidden="1">
      <c r="A55" s="394"/>
      <c r="B55" s="427"/>
      <c r="C55" s="249"/>
      <c r="D55" s="309"/>
      <c r="E55" s="353"/>
      <c r="F55" s="353"/>
      <c r="G55" s="353"/>
      <c r="H55" s="313"/>
      <c r="I55" s="294"/>
      <c r="J55" s="314"/>
      <c r="K55" s="314"/>
      <c r="L55" s="314"/>
      <c r="M55" s="314"/>
      <c r="N55" s="250"/>
      <c r="O55" s="250"/>
      <c r="P55" s="250"/>
      <c r="Q55" s="250"/>
      <c r="R55" s="250"/>
      <c r="S55" s="250"/>
      <c r="T55" s="621"/>
      <c r="U55" s="622"/>
      <c r="V55" s="588"/>
    </row>
    <row r="56" spans="1:22" s="422" customFormat="1" ht="31.5">
      <c r="A56" s="415"/>
      <c r="B56" s="432" t="s">
        <v>149</v>
      </c>
      <c r="C56" s="448" t="s">
        <v>190</v>
      </c>
      <c r="D56" s="416"/>
      <c r="E56" s="417"/>
      <c r="F56" s="417"/>
      <c r="G56" s="417"/>
      <c r="H56" s="418"/>
      <c r="I56" s="419"/>
      <c r="J56" s="420"/>
      <c r="K56" s="420"/>
      <c r="L56" s="420"/>
      <c r="M56" s="420"/>
      <c r="N56" s="421"/>
      <c r="O56" s="421"/>
      <c r="P56" s="421"/>
      <c r="Q56" s="421"/>
      <c r="R56" s="421">
        <v>200000000</v>
      </c>
      <c r="S56" s="421"/>
      <c r="T56" s="635"/>
      <c r="U56" s="636"/>
      <c r="V56" s="637"/>
    </row>
    <row r="57" spans="1:22" ht="8.25" customHeight="1">
      <c r="A57" s="394"/>
      <c r="B57" s="427"/>
      <c r="C57" s="249"/>
      <c r="D57" s="309"/>
      <c r="E57" s="353"/>
      <c r="F57" s="353"/>
      <c r="G57" s="353"/>
      <c r="H57" s="313"/>
      <c r="I57" s="294"/>
      <c r="J57" s="314"/>
      <c r="K57" s="314"/>
      <c r="L57" s="314"/>
      <c r="M57" s="314"/>
      <c r="N57" s="250"/>
      <c r="O57" s="250"/>
      <c r="P57" s="250"/>
      <c r="Q57" s="250"/>
      <c r="R57" s="250"/>
      <c r="S57" s="250"/>
      <c r="T57" s="621"/>
      <c r="U57" s="622"/>
      <c r="V57" s="588"/>
    </row>
    <row r="58" spans="1:22" ht="26.25" customHeight="1" hidden="1">
      <c r="A58" s="394"/>
      <c r="B58" s="427"/>
      <c r="C58" s="249"/>
      <c r="D58" s="309"/>
      <c r="E58" s="244"/>
      <c r="F58" s="245"/>
      <c r="G58" s="244"/>
      <c r="H58" s="245"/>
      <c r="I58" s="294"/>
      <c r="J58" s="247"/>
      <c r="K58" s="247"/>
      <c r="L58" s="247"/>
      <c r="M58" s="247"/>
      <c r="N58" s="250"/>
      <c r="O58" s="250"/>
      <c r="P58" s="250"/>
      <c r="Q58" s="250"/>
      <c r="R58" s="250"/>
      <c r="S58" s="250"/>
      <c r="T58" s="621"/>
      <c r="U58" s="638">
        <f>S48-U48</f>
        <v>111178400</v>
      </c>
      <c r="V58" s="588"/>
    </row>
    <row r="59" spans="1:22" ht="15.75" hidden="1">
      <c r="A59" s="394"/>
      <c r="B59" s="427" t="s">
        <v>379</v>
      </c>
      <c r="C59" s="281" t="s">
        <v>304</v>
      </c>
      <c r="D59" s="309"/>
      <c r="E59" s="244"/>
      <c r="F59" s="245"/>
      <c r="G59" s="244"/>
      <c r="H59" s="245"/>
      <c r="I59" s="294"/>
      <c r="J59" s="247"/>
      <c r="K59" s="247"/>
      <c r="L59" s="247"/>
      <c r="M59" s="247"/>
      <c r="N59" s="250"/>
      <c r="O59" s="250"/>
      <c r="P59" s="250"/>
      <c r="Q59" s="250"/>
      <c r="R59" s="250"/>
      <c r="S59" s="250"/>
      <c r="T59" s="621"/>
      <c r="U59" s="622">
        <f>'[2]Közp.kv. 1005-109 BE'!$AD$24+'[2]Közp.kv. 1005-109 BE'!$AD$25</f>
        <v>111178400</v>
      </c>
      <c r="V59" s="588"/>
    </row>
    <row r="60" spans="1:22" ht="15.75" hidden="1">
      <c r="A60" s="394"/>
      <c r="B60" s="427" t="s">
        <v>150</v>
      </c>
      <c r="C60" s="249" t="s">
        <v>460</v>
      </c>
      <c r="D60" s="243">
        <v>15588300</v>
      </c>
      <c r="E60" s="244">
        <f aca="true" t="shared" si="9" ref="E60:E69">D60*F60/100</f>
        <v>15588300</v>
      </c>
      <c r="F60" s="245">
        <v>100</v>
      </c>
      <c r="G60" s="244"/>
      <c r="H60" s="245"/>
      <c r="I60" s="303">
        <v>14734200</v>
      </c>
      <c r="J60" s="304">
        <f aca="true" t="shared" si="10" ref="J60:J69">I60*K60/100</f>
        <v>14734200</v>
      </c>
      <c r="K60" s="304">
        <v>100</v>
      </c>
      <c r="L60" s="304">
        <f aca="true" t="shared" si="11" ref="L60:L69">I60-J60</f>
        <v>0</v>
      </c>
      <c r="M60" s="304">
        <f aca="true" t="shared" si="12" ref="M60:M69">100-K60</f>
        <v>0</v>
      </c>
      <c r="N60" s="305">
        <v>15444000</v>
      </c>
      <c r="O60" s="306" t="s">
        <v>409</v>
      </c>
      <c r="P60" s="305">
        <f>5804400+2902200</f>
        <v>8706600</v>
      </c>
      <c r="Q60" s="305"/>
      <c r="R60" s="305"/>
      <c r="S60" s="305"/>
      <c r="T60" s="621"/>
      <c r="U60" s="622"/>
      <c r="V60" s="588"/>
    </row>
    <row r="61" spans="1:22" ht="15.75" hidden="1">
      <c r="A61" s="394"/>
      <c r="B61" s="427"/>
      <c r="C61" s="249" t="s">
        <v>487</v>
      </c>
      <c r="D61" s="243"/>
      <c r="E61" s="244">
        <f t="shared" si="9"/>
        <v>0</v>
      </c>
      <c r="F61" s="245">
        <v>100</v>
      </c>
      <c r="G61" s="244"/>
      <c r="H61" s="245"/>
      <c r="I61" s="303"/>
      <c r="J61" s="304">
        <f t="shared" si="10"/>
        <v>0</v>
      </c>
      <c r="K61" s="304">
        <v>100</v>
      </c>
      <c r="L61" s="304">
        <f t="shared" si="11"/>
        <v>0</v>
      </c>
      <c r="M61" s="304">
        <f t="shared" si="12"/>
        <v>0</v>
      </c>
      <c r="N61" s="305"/>
      <c r="O61" s="305"/>
      <c r="P61" s="305"/>
      <c r="Q61" s="305"/>
      <c r="R61" s="305"/>
      <c r="S61" s="305"/>
      <c r="T61" s="621"/>
      <c r="U61" s="622"/>
      <c r="V61" s="588"/>
    </row>
    <row r="62" spans="1:22" ht="15.75" hidden="1">
      <c r="A62" s="394"/>
      <c r="B62" s="427"/>
      <c r="C62" s="249" t="s">
        <v>488</v>
      </c>
      <c r="D62" s="243"/>
      <c r="E62" s="244">
        <f t="shared" si="9"/>
        <v>0</v>
      </c>
      <c r="F62" s="245">
        <v>100</v>
      </c>
      <c r="G62" s="244"/>
      <c r="H62" s="245"/>
      <c r="I62" s="303"/>
      <c r="J62" s="304">
        <f t="shared" si="10"/>
        <v>0</v>
      </c>
      <c r="K62" s="304">
        <v>100</v>
      </c>
      <c r="L62" s="304">
        <f t="shared" si="11"/>
        <v>0</v>
      </c>
      <c r="M62" s="304">
        <f t="shared" si="12"/>
        <v>0</v>
      </c>
      <c r="N62" s="305"/>
      <c r="O62" s="305"/>
      <c r="P62" s="305"/>
      <c r="Q62" s="305"/>
      <c r="R62" s="305"/>
      <c r="S62" s="305"/>
      <c r="T62" s="621"/>
      <c r="U62" s="622"/>
      <c r="V62" s="588"/>
    </row>
    <row r="63" spans="1:22" ht="15.75" hidden="1">
      <c r="A63" s="394"/>
      <c r="B63" s="427"/>
      <c r="C63" s="249" t="s">
        <v>421</v>
      </c>
      <c r="D63" s="243"/>
      <c r="E63" s="244">
        <f t="shared" si="9"/>
        <v>0</v>
      </c>
      <c r="F63" s="245">
        <v>100</v>
      </c>
      <c r="G63" s="244"/>
      <c r="H63" s="245"/>
      <c r="I63" s="303"/>
      <c r="J63" s="304">
        <f t="shared" si="10"/>
        <v>0</v>
      </c>
      <c r="K63" s="304">
        <v>100</v>
      </c>
      <c r="L63" s="304">
        <f t="shared" si="11"/>
        <v>0</v>
      </c>
      <c r="M63" s="304">
        <f t="shared" si="12"/>
        <v>0</v>
      </c>
      <c r="N63" s="305"/>
      <c r="O63" s="305"/>
      <c r="P63" s="305"/>
      <c r="Q63" s="305"/>
      <c r="R63" s="305"/>
      <c r="S63" s="305"/>
      <c r="T63" s="621"/>
      <c r="U63" s="622"/>
      <c r="V63" s="588"/>
    </row>
    <row r="64" spans="1:22" ht="15.75" hidden="1">
      <c r="A64" s="394"/>
      <c r="B64" s="427"/>
      <c r="C64" s="249" t="s">
        <v>489</v>
      </c>
      <c r="D64" s="243"/>
      <c r="E64" s="244">
        <f t="shared" si="9"/>
        <v>0</v>
      </c>
      <c r="F64" s="245">
        <v>100</v>
      </c>
      <c r="G64" s="244"/>
      <c r="H64" s="245"/>
      <c r="I64" s="303"/>
      <c r="J64" s="304">
        <f t="shared" si="10"/>
        <v>0</v>
      </c>
      <c r="K64" s="304">
        <v>100</v>
      </c>
      <c r="L64" s="304">
        <f t="shared" si="11"/>
        <v>0</v>
      </c>
      <c r="M64" s="304">
        <f t="shared" si="12"/>
        <v>0</v>
      </c>
      <c r="N64" s="305"/>
      <c r="O64" s="305"/>
      <c r="P64" s="305"/>
      <c r="Q64" s="305"/>
      <c r="R64" s="305"/>
      <c r="S64" s="305"/>
      <c r="T64" s="621"/>
      <c r="U64" s="622"/>
      <c r="V64" s="588"/>
    </row>
    <row r="65" spans="1:21" ht="15.75" hidden="1">
      <c r="A65" s="394"/>
      <c r="B65" s="427"/>
      <c r="C65" s="249" t="s">
        <v>490</v>
      </c>
      <c r="D65" s="243"/>
      <c r="E65" s="244">
        <f t="shared" si="9"/>
        <v>0</v>
      </c>
      <c r="F65" s="245">
        <v>100</v>
      </c>
      <c r="G65" s="244"/>
      <c r="H65" s="245"/>
      <c r="I65" s="303"/>
      <c r="J65" s="304">
        <f t="shared" si="10"/>
        <v>0</v>
      </c>
      <c r="K65" s="304">
        <v>100</v>
      </c>
      <c r="L65" s="304">
        <f t="shared" si="11"/>
        <v>0</v>
      </c>
      <c r="M65" s="304">
        <f t="shared" si="12"/>
        <v>0</v>
      </c>
      <c r="N65" s="305"/>
      <c r="O65" s="305"/>
      <c r="P65" s="305"/>
      <c r="Q65" s="305"/>
      <c r="R65" s="305"/>
      <c r="S65" s="305"/>
      <c r="T65" s="621"/>
      <c r="U65" s="622"/>
    </row>
    <row r="66" spans="1:21" ht="15.75" hidden="1">
      <c r="A66" s="394"/>
      <c r="B66" s="427"/>
      <c r="C66" s="249" t="s">
        <v>422</v>
      </c>
      <c r="D66" s="243"/>
      <c r="E66" s="244">
        <f t="shared" si="9"/>
        <v>0</v>
      </c>
      <c r="F66" s="245">
        <v>100</v>
      </c>
      <c r="G66" s="244"/>
      <c r="H66" s="245"/>
      <c r="I66" s="303"/>
      <c r="J66" s="304">
        <f t="shared" si="10"/>
        <v>0</v>
      </c>
      <c r="K66" s="304">
        <v>100</v>
      </c>
      <c r="L66" s="304">
        <f t="shared" si="11"/>
        <v>0</v>
      </c>
      <c r="M66" s="304">
        <f t="shared" si="12"/>
        <v>0</v>
      </c>
      <c r="N66" s="305"/>
      <c r="O66" s="305"/>
      <c r="P66" s="305"/>
      <c r="Q66" s="305"/>
      <c r="R66" s="305"/>
      <c r="S66" s="305"/>
      <c r="T66" s="621"/>
      <c r="U66" s="622"/>
    </row>
    <row r="67" spans="1:21" ht="15.75" hidden="1">
      <c r="A67" s="394"/>
      <c r="B67" s="427" t="s">
        <v>151</v>
      </c>
      <c r="C67" s="249" t="s">
        <v>491</v>
      </c>
      <c r="D67" s="243">
        <v>57120000</v>
      </c>
      <c r="E67" s="244">
        <f t="shared" si="9"/>
        <v>57120000</v>
      </c>
      <c r="F67" s="245">
        <v>100</v>
      </c>
      <c r="G67" s="244"/>
      <c r="H67" s="245"/>
      <c r="I67" s="303">
        <f>42160000+21760000</f>
        <v>63920000</v>
      </c>
      <c r="J67" s="304">
        <f t="shared" si="10"/>
        <v>63920000</v>
      </c>
      <c r="K67" s="304">
        <v>100</v>
      </c>
      <c r="L67" s="304">
        <f t="shared" si="11"/>
        <v>0</v>
      </c>
      <c r="M67" s="304">
        <f t="shared" si="12"/>
        <v>0</v>
      </c>
      <c r="N67" s="305">
        <v>64990000</v>
      </c>
      <c r="O67" s="305">
        <v>62100000</v>
      </c>
      <c r="P67" s="305">
        <f>59200000+29600000</f>
        <v>88800000</v>
      </c>
      <c r="Q67" s="305"/>
      <c r="R67" s="305"/>
      <c r="S67" s="305"/>
      <c r="T67" s="621"/>
      <c r="U67" s="622"/>
    </row>
    <row r="68" spans="1:21" ht="15.75" hidden="1">
      <c r="A68" s="394"/>
      <c r="B68" s="427"/>
      <c r="C68" s="249" t="s">
        <v>492</v>
      </c>
      <c r="D68" s="243"/>
      <c r="E68" s="244">
        <f t="shared" si="9"/>
        <v>0</v>
      </c>
      <c r="F68" s="245">
        <v>100</v>
      </c>
      <c r="G68" s="244"/>
      <c r="H68" s="245"/>
      <c r="I68" s="303"/>
      <c r="J68" s="304">
        <f t="shared" si="10"/>
        <v>0</v>
      </c>
      <c r="K68" s="304">
        <v>100</v>
      </c>
      <c r="L68" s="304">
        <f t="shared" si="11"/>
        <v>0</v>
      </c>
      <c r="M68" s="304">
        <f t="shared" si="12"/>
        <v>0</v>
      </c>
      <c r="N68" s="305"/>
      <c r="O68" s="305"/>
      <c r="P68" s="305"/>
      <c r="Q68" s="305"/>
      <c r="R68" s="305"/>
      <c r="S68" s="305"/>
      <c r="T68" s="621"/>
      <c r="U68" s="622"/>
    </row>
    <row r="69" spans="1:21" ht="15.75" hidden="1">
      <c r="A69" s="394"/>
      <c r="B69" s="427"/>
      <c r="C69" s="249" t="s">
        <v>493</v>
      </c>
      <c r="D69" s="243"/>
      <c r="E69" s="244">
        <f t="shared" si="9"/>
        <v>0</v>
      </c>
      <c r="F69" s="245">
        <v>100</v>
      </c>
      <c r="G69" s="244"/>
      <c r="H69" s="245"/>
      <c r="I69" s="303"/>
      <c r="J69" s="304">
        <f t="shared" si="10"/>
        <v>0</v>
      </c>
      <c r="K69" s="304">
        <v>100</v>
      </c>
      <c r="L69" s="304">
        <f t="shared" si="11"/>
        <v>0</v>
      </c>
      <c r="M69" s="304">
        <f t="shared" si="12"/>
        <v>0</v>
      </c>
      <c r="N69" s="305"/>
      <c r="O69" s="305"/>
      <c r="P69" s="305"/>
      <c r="Q69" s="305"/>
      <c r="R69" s="305"/>
      <c r="S69" s="305"/>
      <c r="T69" s="621"/>
      <c r="U69" s="622"/>
    </row>
    <row r="70" spans="1:21" ht="15.75" hidden="1">
      <c r="A70" s="394"/>
      <c r="B70" s="427" t="s">
        <v>152</v>
      </c>
      <c r="C70" s="249" t="s">
        <v>411</v>
      </c>
      <c r="D70" s="243"/>
      <c r="E70" s="244"/>
      <c r="F70" s="245"/>
      <c r="G70" s="244"/>
      <c r="H70" s="245"/>
      <c r="I70" s="303"/>
      <c r="J70" s="304"/>
      <c r="K70" s="304"/>
      <c r="L70" s="304"/>
      <c r="M70" s="304"/>
      <c r="N70" s="305"/>
      <c r="O70" s="306" t="s">
        <v>409</v>
      </c>
      <c r="P70" s="305">
        <f>6708000+3362667</f>
        <v>10070667</v>
      </c>
      <c r="Q70" s="305"/>
      <c r="R70" s="305"/>
      <c r="S70" s="305"/>
      <c r="T70" s="621"/>
      <c r="U70" s="622"/>
    </row>
    <row r="71" spans="1:21" ht="15.75" hidden="1">
      <c r="A71" s="394"/>
      <c r="B71" s="427" t="s">
        <v>153</v>
      </c>
      <c r="C71" s="249" t="s">
        <v>412</v>
      </c>
      <c r="D71" s="243"/>
      <c r="E71" s="244"/>
      <c r="F71" s="245"/>
      <c r="G71" s="244"/>
      <c r="H71" s="245"/>
      <c r="I71" s="303"/>
      <c r="J71" s="304"/>
      <c r="K71" s="304"/>
      <c r="L71" s="304"/>
      <c r="M71" s="304"/>
      <c r="N71" s="305"/>
      <c r="O71" s="306" t="s">
        <v>409</v>
      </c>
      <c r="P71" s="305">
        <f>3250000+1646667</f>
        <v>4896667</v>
      </c>
      <c r="Q71" s="305"/>
      <c r="R71" s="305"/>
      <c r="S71" s="305"/>
      <c r="T71" s="621"/>
      <c r="U71" s="622"/>
    </row>
    <row r="72" spans="1:21" ht="15.75" hidden="1">
      <c r="A72" s="394"/>
      <c r="B72" s="427" t="s">
        <v>154</v>
      </c>
      <c r="C72" s="249" t="s">
        <v>490</v>
      </c>
      <c r="D72" s="243"/>
      <c r="E72" s="244"/>
      <c r="F72" s="245"/>
      <c r="G72" s="244"/>
      <c r="H72" s="245"/>
      <c r="I72" s="303"/>
      <c r="J72" s="304"/>
      <c r="K72" s="304"/>
      <c r="L72" s="304"/>
      <c r="M72" s="304"/>
      <c r="N72" s="305">
        <f>2512060+1273373</f>
        <v>3785433</v>
      </c>
      <c r="O72" s="305"/>
      <c r="P72" s="305"/>
      <c r="Q72" s="305"/>
      <c r="R72" s="305"/>
      <c r="S72" s="305"/>
      <c r="T72" s="621"/>
      <c r="U72" s="622"/>
    </row>
    <row r="73" spans="1:21" ht="15.75" hidden="1">
      <c r="A73" s="394"/>
      <c r="B73" s="427" t="s">
        <v>155</v>
      </c>
      <c r="C73" s="249" t="s">
        <v>462</v>
      </c>
      <c r="D73" s="243"/>
      <c r="E73" s="244"/>
      <c r="F73" s="245"/>
      <c r="G73" s="244"/>
      <c r="H73" s="245"/>
      <c r="I73" s="303"/>
      <c r="J73" s="304"/>
      <c r="K73" s="304"/>
      <c r="L73" s="304"/>
      <c r="M73" s="304"/>
      <c r="N73" s="305"/>
      <c r="O73" s="305"/>
      <c r="P73" s="305">
        <v>36252000</v>
      </c>
      <c r="Q73" s="305"/>
      <c r="R73" s="305"/>
      <c r="S73" s="305"/>
      <c r="T73" s="621"/>
      <c r="U73" s="622"/>
    </row>
    <row r="74" spans="1:21" ht="15.75" hidden="1">
      <c r="A74" s="394"/>
      <c r="B74" s="427" t="s">
        <v>156</v>
      </c>
      <c r="C74" s="249" t="s">
        <v>461</v>
      </c>
      <c r="D74" s="243"/>
      <c r="E74" s="244"/>
      <c r="F74" s="245"/>
      <c r="G74" s="244"/>
      <c r="H74" s="245"/>
      <c r="I74" s="303"/>
      <c r="J74" s="304"/>
      <c r="K74" s="304"/>
      <c r="L74" s="304"/>
      <c r="M74" s="304"/>
      <c r="N74" s="305"/>
      <c r="O74" s="305"/>
      <c r="P74" s="305">
        <v>220184000</v>
      </c>
      <c r="Q74" s="305"/>
      <c r="R74" s="305"/>
      <c r="S74" s="305"/>
      <c r="T74" s="621"/>
      <c r="U74" s="622"/>
    </row>
    <row r="75" spans="1:21" ht="15.75" hidden="1">
      <c r="A75" s="394"/>
      <c r="B75" s="427" t="s">
        <v>157</v>
      </c>
      <c r="C75" s="249" t="s">
        <v>459</v>
      </c>
      <c r="D75" s="243">
        <v>34686271</v>
      </c>
      <c r="E75" s="244">
        <f>D75*F75/100</f>
        <v>34686271</v>
      </c>
      <c r="F75" s="245">
        <v>100</v>
      </c>
      <c r="G75" s="244"/>
      <c r="H75" s="245"/>
      <c r="I75" s="303">
        <v>30991264</v>
      </c>
      <c r="J75" s="304">
        <f>I75*K75/100</f>
        <v>9764107.63584</v>
      </c>
      <c r="K75" s="304">
        <v>31.506</v>
      </c>
      <c r="L75" s="304">
        <f>I75-J75</f>
        <v>21227156.36416</v>
      </c>
      <c r="M75" s="304">
        <f>100-K75</f>
        <v>68.494</v>
      </c>
      <c r="N75" s="305"/>
      <c r="O75" s="305"/>
      <c r="P75" s="305">
        <v>3400000</v>
      </c>
      <c r="Q75" s="305"/>
      <c r="R75" s="305"/>
      <c r="S75" s="305"/>
      <c r="T75" s="621"/>
      <c r="U75" s="622"/>
    </row>
    <row r="76" spans="1:21" ht="15.75" hidden="1">
      <c r="A76" s="394"/>
      <c r="B76" s="427" t="s">
        <v>158</v>
      </c>
      <c r="C76" s="249" t="s">
        <v>423</v>
      </c>
      <c r="D76" s="243"/>
      <c r="E76" s="244"/>
      <c r="F76" s="245"/>
      <c r="G76" s="244"/>
      <c r="H76" s="245"/>
      <c r="I76" s="303"/>
      <c r="J76" s="304"/>
      <c r="K76" s="304"/>
      <c r="L76" s="304"/>
      <c r="M76" s="304"/>
      <c r="N76" s="305"/>
      <c r="O76" s="305"/>
      <c r="P76" s="305">
        <f>10739167+5523000</f>
        <v>16262167</v>
      </c>
      <c r="Q76" s="305"/>
      <c r="R76" s="305"/>
      <c r="S76" s="305"/>
      <c r="T76" s="621"/>
      <c r="U76" s="622"/>
    </row>
    <row r="77" spans="1:21" ht="15.75" hidden="1">
      <c r="A77" s="394"/>
      <c r="B77" s="427" t="s">
        <v>159</v>
      </c>
      <c r="C77" s="249" t="s">
        <v>402</v>
      </c>
      <c r="D77" s="243">
        <v>2387600</v>
      </c>
      <c r="E77" s="244">
        <f>D77*F77/100</f>
        <v>2387600</v>
      </c>
      <c r="F77" s="245">
        <v>100</v>
      </c>
      <c r="G77" s="244"/>
      <c r="H77" s="245"/>
      <c r="I77" s="303">
        <v>2387600</v>
      </c>
      <c r="J77" s="304">
        <f>I77*K77/100</f>
        <v>752237.2559999999</v>
      </c>
      <c r="K77" s="304">
        <v>31.506</v>
      </c>
      <c r="L77" s="304">
        <f>I77-J77</f>
        <v>1635362.744</v>
      </c>
      <c r="M77" s="304">
        <f>100-K77</f>
        <v>68.494</v>
      </c>
      <c r="N77" s="305">
        <v>2434600</v>
      </c>
      <c r="O77" s="305">
        <v>2472200</v>
      </c>
      <c r="P77" s="305">
        <v>457560</v>
      </c>
      <c r="Q77" s="305"/>
      <c r="R77" s="305"/>
      <c r="S77" s="305"/>
      <c r="T77" s="621"/>
      <c r="U77" s="622"/>
    </row>
    <row r="78" spans="1:21" ht="12.75" customHeight="1" hidden="1">
      <c r="A78" s="394"/>
      <c r="B78" s="427"/>
      <c r="C78" s="249"/>
      <c r="D78" s="309"/>
      <c r="E78" s="244">
        <f>D78</f>
        <v>0</v>
      </c>
      <c r="F78" s="245">
        <v>101</v>
      </c>
      <c r="G78" s="244"/>
      <c r="H78" s="245"/>
      <c r="I78" s="294"/>
      <c r="J78" s="247">
        <f>I78</f>
        <v>0</v>
      </c>
      <c r="K78" s="247">
        <v>101</v>
      </c>
      <c r="L78" s="247"/>
      <c r="M78" s="247"/>
      <c r="N78" s="250"/>
      <c r="O78" s="250"/>
      <c r="P78" s="250"/>
      <c r="Q78" s="250"/>
      <c r="R78" s="250"/>
      <c r="S78" s="250"/>
      <c r="T78" s="621"/>
      <c r="U78" s="622"/>
    </row>
    <row r="79" spans="1:21" ht="12.75" customHeight="1" hidden="1">
      <c r="A79" s="394"/>
      <c r="B79" s="427"/>
      <c r="C79" s="249"/>
      <c r="D79" s="309"/>
      <c r="E79" s="244">
        <f>D79</f>
        <v>0</v>
      </c>
      <c r="F79" s="245">
        <v>102</v>
      </c>
      <c r="G79" s="244"/>
      <c r="H79" s="245"/>
      <c r="I79" s="294"/>
      <c r="J79" s="247">
        <f>I79</f>
        <v>0</v>
      </c>
      <c r="K79" s="247">
        <v>102</v>
      </c>
      <c r="L79" s="247"/>
      <c r="M79" s="247"/>
      <c r="N79" s="250"/>
      <c r="O79" s="250"/>
      <c r="P79" s="250"/>
      <c r="Q79" s="250"/>
      <c r="R79" s="250"/>
      <c r="S79" s="250"/>
      <c r="T79" s="621"/>
      <c r="U79" s="622"/>
    </row>
    <row r="80" spans="1:21" ht="12.75" customHeight="1" hidden="1">
      <c r="A80" s="394"/>
      <c r="B80" s="427"/>
      <c r="C80" s="249"/>
      <c r="D80" s="309"/>
      <c r="E80" s="244">
        <f>D80</f>
        <v>0</v>
      </c>
      <c r="F80" s="245">
        <v>103</v>
      </c>
      <c r="G80" s="244"/>
      <c r="H80" s="245"/>
      <c r="I80" s="294"/>
      <c r="J80" s="247">
        <f>I80</f>
        <v>0</v>
      </c>
      <c r="K80" s="247">
        <v>103</v>
      </c>
      <c r="L80" s="247"/>
      <c r="M80" s="247"/>
      <c r="N80" s="250"/>
      <c r="O80" s="250"/>
      <c r="P80" s="250"/>
      <c r="Q80" s="250"/>
      <c r="R80" s="250"/>
      <c r="S80" s="250"/>
      <c r="T80" s="621"/>
      <c r="U80" s="622"/>
    </row>
    <row r="81" spans="1:22" ht="15.75" hidden="1">
      <c r="A81" s="394"/>
      <c r="B81" s="427"/>
      <c r="C81" s="249" t="s">
        <v>591</v>
      </c>
      <c r="D81" s="309"/>
      <c r="E81" s="244">
        <f>D81</f>
        <v>0</v>
      </c>
      <c r="F81" s="245">
        <v>100</v>
      </c>
      <c r="G81" s="244"/>
      <c r="H81" s="245"/>
      <c r="I81" s="294"/>
      <c r="J81" s="247">
        <f>I81</f>
        <v>0</v>
      </c>
      <c r="K81" s="247">
        <v>100</v>
      </c>
      <c r="L81" s="247"/>
      <c r="M81" s="247"/>
      <c r="N81" s="250"/>
      <c r="O81" s="250"/>
      <c r="P81" s="250"/>
      <c r="Q81" s="250"/>
      <c r="R81" s="250"/>
      <c r="S81" s="250"/>
      <c r="T81" s="621"/>
      <c r="U81" s="622"/>
      <c r="V81" s="588"/>
    </row>
    <row r="82" spans="1:22" ht="6.75" customHeight="1" hidden="1">
      <c r="A82" s="394"/>
      <c r="B82" s="427"/>
      <c r="C82" s="249"/>
      <c r="D82" s="309"/>
      <c r="E82" s="244"/>
      <c r="F82" s="245"/>
      <c r="G82" s="244"/>
      <c r="H82" s="245"/>
      <c r="I82" s="294"/>
      <c r="J82" s="247"/>
      <c r="K82" s="247"/>
      <c r="L82" s="247"/>
      <c r="M82" s="247"/>
      <c r="N82" s="250"/>
      <c r="O82" s="250"/>
      <c r="P82" s="250"/>
      <c r="Q82" s="250"/>
      <c r="R82" s="250"/>
      <c r="S82" s="250"/>
      <c r="T82" s="621"/>
      <c r="U82" s="622"/>
      <c r="V82" s="588"/>
    </row>
    <row r="83" spans="1:22" s="407" customFormat="1" ht="15.75" hidden="1">
      <c r="A83" s="394"/>
      <c r="B83" s="427" t="s">
        <v>160</v>
      </c>
      <c r="C83" s="315" t="s">
        <v>195</v>
      </c>
      <c r="D83" s="311">
        <f>SUM(D60:D82)</f>
        <v>109782171</v>
      </c>
      <c r="E83" s="316">
        <f>SUM(E60:E82)</f>
        <v>109782171</v>
      </c>
      <c r="F83" s="317">
        <v>100</v>
      </c>
      <c r="G83" s="316">
        <f>SUM(G60:G82)</f>
        <v>0</v>
      </c>
      <c r="H83" s="317"/>
      <c r="I83" s="312">
        <f>SUM(I60:I82)</f>
        <v>112033064</v>
      </c>
      <c r="J83" s="318">
        <f>SUM(J60:J82)</f>
        <v>89170544.89184</v>
      </c>
      <c r="K83" s="318">
        <v>100</v>
      </c>
      <c r="L83" s="318">
        <f>SUM(L60:L82)</f>
        <v>22862519.10816</v>
      </c>
      <c r="M83" s="318"/>
      <c r="N83" s="319">
        <f aca="true" t="shared" si="13" ref="N83:S83">SUM(N60:N82)</f>
        <v>86654033</v>
      </c>
      <c r="O83" s="319">
        <f t="shared" si="13"/>
        <v>64572200</v>
      </c>
      <c r="P83" s="319">
        <f t="shared" si="13"/>
        <v>389029661</v>
      </c>
      <c r="Q83" s="319">
        <f t="shared" si="13"/>
        <v>0</v>
      </c>
      <c r="R83" s="319">
        <f t="shared" si="13"/>
        <v>0</v>
      </c>
      <c r="S83" s="319">
        <f t="shared" si="13"/>
        <v>0</v>
      </c>
      <c r="T83" s="632"/>
      <c r="U83" s="638"/>
      <c r="V83" s="634"/>
    </row>
    <row r="84" spans="1:22" s="407" customFormat="1" ht="0" customHeight="1" hidden="1">
      <c r="A84" s="394"/>
      <c r="B84" s="427"/>
      <c r="C84" s="320"/>
      <c r="D84" s="311"/>
      <c r="E84" s="316"/>
      <c r="F84" s="317"/>
      <c r="G84" s="316"/>
      <c r="H84" s="317"/>
      <c r="I84" s="312"/>
      <c r="J84" s="318"/>
      <c r="K84" s="318"/>
      <c r="L84" s="318"/>
      <c r="M84" s="318"/>
      <c r="N84" s="319"/>
      <c r="O84" s="319"/>
      <c r="P84" s="319"/>
      <c r="Q84" s="319"/>
      <c r="R84" s="319"/>
      <c r="S84" s="319"/>
      <c r="T84" s="632"/>
      <c r="U84" s="638"/>
      <c r="V84" s="634"/>
    </row>
    <row r="85" spans="1:22" s="408" customFormat="1" ht="15.75" hidden="1">
      <c r="A85" s="394"/>
      <c r="B85" s="427"/>
      <c r="C85" s="287"/>
      <c r="D85" s="300"/>
      <c r="E85" s="301"/>
      <c r="F85" s="302"/>
      <c r="G85" s="301"/>
      <c r="H85" s="302"/>
      <c r="I85" s="303"/>
      <c r="J85" s="304"/>
      <c r="K85" s="304"/>
      <c r="L85" s="304"/>
      <c r="M85" s="304"/>
      <c r="N85" s="305"/>
      <c r="O85" s="305"/>
      <c r="P85" s="305"/>
      <c r="Q85" s="305"/>
      <c r="R85" s="305"/>
      <c r="S85" s="305"/>
      <c r="T85" s="613"/>
      <c r="U85" s="639"/>
      <c r="V85" s="640"/>
    </row>
    <row r="86" spans="1:22" s="408" customFormat="1" ht="5.25" customHeight="1">
      <c r="A86" s="394"/>
      <c r="B86" s="427"/>
      <c r="C86" s="287"/>
      <c r="D86" s="300"/>
      <c r="E86" s="301"/>
      <c r="F86" s="302"/>
      <c r="G86" s="301"/>
      <c r="H86" s="302"/>
      <c r="I86" s="303"/>
      <c r="J86" s="304"/>
      <c r="K86" s="304"/>
      <c r="L86" s="304"/>
      <c r="M86" s="304"/>
      <c r="N86" s="305"/>
      <c r="O86" s="305"/>
      <c r="P86" s="305"/>
      <c r="Q86" s="305"/>
      <c r="R86" s="305"/>
      <c r="S86" s="305"/>
      <c r="T86" s="613"/>
      <c r="U86" s="639"/>
      <c r="V86" s="640"/>
    </row>
    <row r="87" spans="1:22" s="408" customFormat="1" ht="15.75">
      <c r="A87" s="394"/>
      <c r="B87" s="427" t="s">
        <v>161</v>
      </c>
      <c r="C87" s="449" t="s">
        <v>196</v>
      </c>
      <c r="D87" s="300"/>
      <c r="E87" s="301"/>
      <c r="F87" s="302"/>
      <c r="G87" s="301"/>
      <c r="H87" s="302"/>
      <c r="I87" s="303"/>
      <c r="J87" s="304"/>
      <c r="K87" s="304"/>
      <c r="L87" s="304"/>
      <c r="M87" s="304"/>
      <c r="N87" s="305"/>
      <c r="O87" s="305"/>
      <c r="P87" s="305"/>
      <c r="Q87" s="305"/>
      <c r="R87" s="305"/>
      <c r="S87" s="305"/>
      <c r="T87" s="613"/>
      <c r="U87" s="639"/>
      <c r="V87" s="640"/>
    </row>
    <row r="88" spans="1:22" s="409" customFormat="1" ht="15.75">
      <c r="A88" s="394"/>
      <c r="B88" s="427" t="s">
        <v>162</v>
      </c>
      <c r="C88" s="281" t="s">
        <v>415</v>
      </c>
      <c r="D88" s="243">
        <v>547948251</v>
      </c>
      <c r="E88" s="321"/>
      <c r="F88" s="322"/>
      <c r="G88" s="321"/>
      <c r="H88" s="322"/>
      <c r="I88" s="246">
        <v>457450825</v>
      </c>
      <c r="J88" s="308"/>
      <c r="K88" s="308"/>
      <c r="L88" s="308"/>
      <c r="M88" s="308"/>
      <c r="N88" s="248">
        <v>450440141</v>
      </c>
      <c r="O88" s="248">
        <v>465091754</v>
      </c>
      <c r="P88" s="248">
        <v>402314066</v>
      </c>
      <c r="Q88" s="248"/>
      <c r="R88" s="248"/>
      <c r="S88" s="248"/>
      <c r="T88" s="613"/>
      <c r="U88" s="639"/>
      <c r="V88" s="641"/>
    </row>
    <row r="89" spans="1:22" s="409" customFormat="1" ht="2.25" customHeight="1">
      <c r="A89" s="394"/>
      <c r="B89" s="427"/>
      <c r="C89" s="281"/>
      <c r="D89" s="243"/>
      <c r="E89" s="321"/>
      <c r="F89" s="322"/>
      <c r="G89" s="321"/>
      <c r="H89" s="322"/>
      <c r="I89" s="246"/>
      <c r="J89" s="308"/>
      <c r="K89" s="308"/>
      <c r="L89" s="308"/>
      <c r="M89" s="308"/>
      <c r="N89" s="248"/>
      <c r="O89" s="248"/>
      <c r="P89" s="248"/>
      <c r="Q89" s="248"/>
      <c r="R89" s="248"/>
      <c r="S89" s="248"/>
      <c r="T89" s="613"/>
      <c r="U89" s="639"/>
      <c r="V89" s="641"/>
    </row>
    <row r="90" spans="1:22" s="408" customFormat="1" ht="2.25" customHeight="1">
      <c r="A90" s="394"/>
      <c r="B90" s="427"/>
      <c r="C90" s="323"/>
      <c r="D90" s="300" t="s">
        <v>370</v>
      </c>
      <c r="E90" s="301"/>
      <c r="F90" s="302"/>
      <c r="G90" s="301"/>
      <c r="H90" s="302"/>
      <c r="I90" s="303"/>
      <c r="J90" s="304"/>
      <c r="K90" s="304"/>
      <c r="L90" s="304"/>
      <c r="M90" s="304"/>
      <c r="N90" s="305"/>
      <c r="O90" s="305"/>
      <c r="P90" s="305"/>
      <c r="Q90" s="305"/>
      <c r="R90" s="305"/>
      <c r="S90" s="305"/>
      <c r="T90" s="613"/>
      <c r="U90" s="639"/>
      <c r="V90" s="640"/>
    </row>
    <row r="91" spans="1:22" s="409" customFormat="1" ht="15.75">
      <c r="A91" s="394"/>
      <c r="B91" s="427" t="s">
        <v>380</v>
      </c>
      <c r="C91" s="281" t="s">
        <v>176</v>
      </c>
      <c r="D91" s="243">
        <v>6051429000</v>
      </c>
      <c r="E91" s="321"/>
      <c r="F91" s="322"/>
      <c r="G91" s="321"/>
      <c r="H91" s="322"/>
      <c r="I91" s="246">
        <v>6717381000</v>
      </c>
      <c r="J91" s="308"/>
      <c r="K91" s="308"/>
      <c r="L91" s="308"/>
      <c r="M91" s="308"/>
      <c r="N91" s="248">
        <v>7105069000</v>
      </c>
      <c r="O91" s="248">
        <v>7404168000</v>
      </c>
      <c r="P91" s="248">
        <v>6964157811</v>
      </c>
      <c r="Q91" s="248">
        <v>6525836000</v>
      </c>
      <c r="R91" s="248">
        <f>6542427000+207148000</f>
        <v>6749575000</v>
      </c>
      <c r="S91" s="248">
        <v>7232921000</v>
      </c>
      <c r="T91" s="613">
        <f>S91/R91</f>
        <v>1.0716113236759353</v>
      </c>
      <c r="U91" s="639"/>
      <c r="V91" s="641"/>
    </row>
    <row r="92" spans="1:22" s="409" customFormat="1" ht="16.5" customHeight="1" hidden="1">
      <c r="A92" s="394"/>
      <c r="B92" s="427"/>
      <c r="C92" s="281" t="s">
        <v>546</v>
      </c>
      <c r="D92" s="243">
        <v>3986000</v>
      </c>
      <c r="E92" s="321"/>
      <c r="F92" s="322"/>
      <c r="G92" s="321"/>
      <c r="H92" s="322"/>
      <c r="I92" s="246">
        <v>5388000</v>
      </c>
      <c r="J92" s="308"/>
      <c r="K92" s="308"/>
      <c r="L92" s="308"/>
      <c r="M92" s="308"/>
      <c r="N92" s="248"/>
      <c r="O92" s="248"/>
      <c r="P92" s="248"/>
      <c r="Q92" s="248"/>
      <c r="R92" s="248"/>
      <c r="S92" s="248"/>
      <c r="T92" s="613"/>
      <c r="U92" s="639"/>
      <c r="V92" s="641"/>
    </row>
    <row r="93" spans="1:22" s="409" customFormat="1" ht="6" customHeight="1" thickBot="1">
      <c r="A93" s="394"/>
      <c r="B93" s="427"/>
      <c r="C93" s="281"/>
      <c r="D93" s="243"/>
      <c r="E93" s="321"/>
      <c r="F93" s="322"/>
      <c r="G93" s="321"/>
      <c r="H93" s="322"/>
      <c r="I93" s="246"/>
      <c r="J93" s="308"/>
      <c r="K93" s="308"/>
      <c r="L93" s="308"/>
      <c r="M93" s="308"/>
      <c r="N93" s="248"/>
      <c r="O93" s="248"/>
      <c r="P93" s="248"/>
      <c r="Q93" s="248"/>
      <c r="R93" s="248"/>
      <c r="S93" s="248"/>
      <c r="T93" s="613"/>
      <c r="U93" s="639"/>
      <c r="V93" s="641"/>
    </row>
    <row r="94" spans="1:22" s="409" customFormat="1" ht="12" customHeight="1" hidden="1" thickBot="1">
      <c r="A94" s="394"/>
      <c r="B94" s="427"/>
      <c r="C94" s="281"/>
      <c r="D94" s="243"/>
      <c r="E94" s="321"/>
      <c r="F94" s="322"/>
      <c r="G94" s="321"/>
      <c r="H94" s="322"/>
      <c r="I94" s="246"/>
      <c r="J94" s="308"/>
      <c r="K94" s="308"/>
      <c r="L94" s="308"/>
      <c r="M94" s="308"/>
      <c r="N94" s="248"/>
      <c r="O94" s="248"/>
      <c r="P94" s="248"/>
      <c r="Q94" s="248"/>
      <c r="R94" s="248"/>
      <c r="S94" s="248"/>
      <c r="T94" s="613"/>
      <c r="U94" s="639"/>
      <c r="V94" s="641"/>
    </row>
    <row r="95" spans="1:22" s="409" customFormat="1" ht="16.5" hidden="1" thickBot="1">
      <c r="A95" s="394"/>
      <c r="B95" s="427"/>
      <c r="C95" s="281" t="s">
        <v>592</v>
      </c>
      <c r="D95" s="243"/>
      <c r="E95" s="321"/>
      <c r="F95" s="322"/>
      <c r="G95" s="321"/>
      <c r="H95" s="322"/>
      <c r="I95" s="246"/>
      <c r="J95" s="308"/>
      <c r="K95" s="308"/>
      <c r="L95" s="308"/>
      <c r="M95" s="308"/>
      <c r="N95" s="248"/>
      <c r="O95" s="248"/>
      <c r="P95" s="248"/>
      <c r="Q95" s="248"/>
      <c r="R95" s="248"/>
      <c r="S95" s="248"/>
      <c r="T95" s="613"/>
      <c r="U95" s="639"/>
      <c r="V95" s="641"/>
    </row>
    <row r="96" spans="1:22" s="408" customFormat="1" ht="16.5" hidden="1" thickBot="1">
      <c r="A96" s="394"/>
      <c r="B96" s="427"/>
      <c r="C96" s="287"/>
      <c r="D96" s="300"/>
      <c r="E96" s="301"/>
      <c r="F96" s="302"/>
      <c r="G96" s="301"/>
      <c r="H96" s="302"/>
      <c r="I96" s="303"/>
      <c r="J96" s="304"/>
      <c r="K96" s="304"/>
      <c r="L96" s="304"/>
      <c r="M96" s="304"/>
      <c r="N96" s="305"/>
      <c r="O96" s="305"/>
      <c r="P96" s="305"/>
      <c r="Q96" s="305"/>
      <c r="R96" s="305"/>
      <c r="S96" s="305"/>
      <c r="T96" s="629"/>
      <c r="U96" s="630"/>
      <c r="V96" s="640"/>
    </row>
    <row r="97" spans="1:22" ht="10.5" customHeight="1">
      <c r="A97" s="410"/>
      <c r="B97" s="433"/>
      <c r="C97" s="324"/>
      <c r="D97" s="325"/>
      <c r="E97" s="326"/>
      <c r="F97" s="327"/>
      <c r="G97" s="326"/>
      <c r="H97" s="327"/>
      <c r="I97" s="328"/>
      <c r="J97" s="329"/>
      <c r="K97" s="329"/>
      <c r="L97" s="329"/>
      <c r="M97" s="329"/>
      <c r="N97" s="330"/>
      <c r="O97" s="330"/>
      <c r="P97" s="330"/>
      <c r="Q97" s="330"/>
      <c r="R97" s="330"/>
      <c r="S97" s="330"/>
      <c r="T97" s="642"/>
      <c r="U97" s="622"/>
      <c r="V97" s="588"/>
    </row>
    <row r="98" spans="1:22" s="411" customFormat="1" ht="18">
      <c r="A98" s="394"/>
      <c r="B98" s="427" t="s">
        <v>381</v>
      </c>
      <c r="C98" s="331" t="s">
        <v>309</v>
      </c>
      <c r="D98" s="332">
        <f>SUM(D48,D83,D88:D95)</f>
        <v>7964040256</v>
      </c>
      <c r="E98" s="333">
        <f>SUM(E48,E83,E88:E95)</f>
        <v>397314331.02</v>
      </c>
      <c r="F98" s="333"/>
      <c r="G98" s="333">
        <f>SUM(G48,G83,G88:G95)</f>
        <v>963362673.98</v>
      </c>
      <c r="H98" s="334"/>
      <c r="I98" s="335">
        <f aca="true" t="shared" si="14" ref="I98:O98">SUM(I48,I83,I88:I94)</f>
        <v>11794740220</v>
      </c>
      <c r="J98" s="335">
        <f t="shared" si="14"/>
        <v>3479342569.53884</v>
      </c>
      <c r="K98" s="335">
        <f t="shared" si="14"/>
        <v>814.89</v>
      </c>
      <c r="L98" s="335">
        <f t="shared" si="14"/>
        <v>1134954253.46116</v>
      </c>
      <c r="M98" s="335">
        <f t="shared" si="14"/>
        <v>785.11</v>
      </c>
      <c r="N98" s="335">
        <f t="shared" si="14"/>
        <v>12009180582</v>
      </c>
      <c r="O98" s="335">
        <f t="shared" si="14"/>
        <v>11853800473</v>
      </c>
      <c r="P98" s="335">
        <f>SUM(P48,P83,P88:P94)+P56</f>
        <v>11466123450</v>
      </c>
      <c r="Q98" s="335">
        <f>SUM(Q48,Q83,Q88:Q94)+Q56</f>
        <v>9326829134</v>
      </c>
      <c r="R98" s="335">
        <f>SUM(R48,R83,R88:R94)+R56+R52</f>
        <v>10269109941</v>
      </c>
      <c r="S98" s="335">
        <f>SUM(S48,S83,S88:S94)+S56+S52</f>
        <v>10297646287</v>
      </c>
      <c r="T98" s="643">
        <f>S98/R98</f>
        <v>1.0027788529058461</v>
      </c>
      <c r="U98" s="644"/>
      <c r="V98" s="645"/>
    </row>
    <row r="99" spans="1:22" ht="8.25" customHeight="1" thickBot="1">
      <c r="A99" s="412"/>
      <c r="B99" s="434"/>
      <c r="C99" s="336"/>
      <c r="D99" s="337"/>
      <c r="E99" s="338"/>
      <c r="F99" s="339"/>
      <c r="G99" s="338"/>
      <c r="H99" s="339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646"/>
      <c r="U99" s="622"/>
      <c r="V99" s="588"/>
    </row>
    <row r="100" spans="1:22" s="406" customFormat="1" ht="18.75" hidden="1" thickBot="1">
      <c r="A100" s="394"/>
      <c r="B100" s="427"/>
      <c r="C100" s="341" t="s">
        <v>593</v>
      </c>
      <c r="D100" s="342"/>
      <c r="E100" s="343"/>
      <c r="F100" s="344"/>
      <c r="G100" s="343"/>
      <c r="H100" s="345"/>
      <c r="I100" s="346"/>
      <c r="J100" s="346"/>
      <c r="K100" s="346"/>
      <c r="L100" s="346"/>
      <c r="M100" s="346"/>
      <c r="N100" s="346"/>
      <c r="O100" s="346"/>
      <c r="P100" s="346"/>
      <c r="Q100" s="346"/>
      <c r="R100" s="346"/>
      <c r="S100" s="346"/>
      <c r="T100" s="647" t="e">
        <f>F100/#REF!</f>
        <v>#REF!</v>
      </c>
      <c r="U100" s="644"/>
      <c r="V100" s="625"/>
    </row>
    <row r="101" spans="1:22" s="413" customFormat="1" ht="18" hidden="1">
      <c r="A101"/>
      <c r="B101" s="427"/>
      <c r="C101" s="347" t="s">
        <v>424</v>
      </c>
      <c r="D101" s="348">
        <f>SUM(D97:D100)</f>
        <v>7964040256</v>
      </c>
      <c r="E101" s="349"/>
      <c r="F101" s="350"/>
      <c r="G101" s="349"/>
      <c r="H101" s="351"/>
      <c r="I101" s="352">
        <f aca="true" t="shared" si="15" ref="I101:S101">SUM(I97:I100)</f>
        <v>11794740220</v>
      </c>
      <c r="J101" s="352">
        <f t="shared" si="15"/>
        <v>3479342569.53884</v>
      </c>
      <c r="K101" s="352">
        <f t="shared" si="15"/>
        <v>814.89</v>
      </c>
      <c r="L101" s="352">
        <f t="shared" si="15"/>
        <v>1134954253.46116</v>
      </c>
      <c r="M101" s="352">
        <f t="shared" si="15"/>
        <v>785.11</v>
      </c>
      <c r="N101" s="352">
        <f t="shared" si="15"/>
        <v>12009180582</v>
      </c>
      <c r="O101" s="352">
        <f t="shared" si="15"/>
        <v>11853800473</v>
      </c>
      <c r="P101" s="352">
        <f t="shared" si="15"/>
        <v>11466123450</v>
      </c>
      <c r="Q101" s="352">
        <f>SUM(Q97:Q100)</f>
        <v>9326829134</v>
      </c>
      <c r="R101" s="352">
        <f>SUM(R97:R100)</f>
        <v>10269109941</v>
      </c>
      <c r="S101" s="352">
        <f t="shared" si="15"/>
        <v>10297646287</v>
      </c>
      <c r="T101" s="648" t="e">
        <f>F101/#REF!</f>
        <v>#REF!</v>
      </c>
      <c r="U101" s="644"/>
      <c r="V101" s="649"/>
    </row>
    <row r="102" spans="1:22" ht="15.75">
      <c r="A102" s="414"/>
      <c r="B102" s="435"/>
      <c r="C102" s="260"/>
      <c r="D102" s="261"/>
      <c r="E102" s="261"/>
      <c r="F102" s="262"/>
      <c r="G102" s="261"/>
      <c r="H102" s="262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586"/>
      <c r="U102" s="587"/>
      <c r="V102" s="588"/>
    </row>
  </sheetData>
  <sheetProtection/>
  <mergeCells count="10">
    <mergeCell ref="E49:G49"/>
    <mergeCell ref="J49:L49"/>
    <mergeCell ref="B1:G1"/>
    <mergeCell ref="C4:T4"/>
    <mergeCell ref="D8:H8"/>
    <mergeCell ref="I8:M8"/>
    <mergeCell ref="E9:F9"/>
    <mergeCell ref="G9:H9"/>
    <mergeCell ref="J9:K9"/>
    <mergeCell ref="L9:M9"/>
  </mergeCells>
  <printOptions horizontalCentered="1"/>
  <pageMargins left="0.3937007874015748" right="0.3937007874015748" top="0.5905511811023623" bottom="0.5511811023622047" header="0.31496062992125984" footer="0.3937007874015748"/>
  <pageSetup horizontalDpi="600" verticalDpi="600" orientation="landscape" paperSize="9" scale="65" r:id="rId1"/>
  <colBreaks count="1" manualBreakCount="1">
    <brk id="2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V90"/>
  <sheetViews>
    <sheetView showGridLines="0" view="pageBreakPreview" zoomScaleSheetLayoutView="100" zoomScalePageLayoutView="0" workbookViewId="0" topLeftCell="A1">
      <selection activeCell="B4" sqref="B4:H4"/>
    </sheetView>
  </sheetViews>
  <sheetFormatPr defaultColWidth="9.00390625" defaultRowHeight="12.75"/>
  <cols>
    <col min="1" max="1" width="6.375" style="833" customWidth="1"/>
    <col min="2" max="2" width="84.875" style="834" customWidth="1"/>
    <col min="3" max="3" width="26.50390625" style="835" customWidth="1"/>
    <col min="4" max="4" width="28.625" style="835" customWidth="1"/>
    <col min="5" max="5" width="28.00390625" style="836" customWidth="1"/>
    <col min="6" max="6" width="29.00390625" style="835" customWidth="1"/>
    <col min="7" max="7" width="29.625" style="835" customWidth="1"/>
    <col min="8" max="8" width="28.625" style="835" hidden="1" customWidth="1"/>
    <col min="9" max="9" width="27.125" style="834" hidden="1" customWidth="1"/>
    <col min="10" max="10" width="24.125" style="835" hidden="1" customWidth="1"/>
    <col min="11" max="16384" width="9.375" style="834" customWidth="1"/>
  </cols>
  <sheetData>
    <row r="1" spans="1:22" ht="18.75">
      <c r="A1" s="414"/>
      <c r="B1" s="1409" t="s">
        <v>949</v>
      </c>
      <c r="C1" s="1409"/>
      <c r="D1" s="1409"/>
      <c r="E1" s="1409"/>
      <c r="F1" s="1409"/>
      <c r="G1" s="1409"/>
      <c r="H1" s="262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586"/>
      <c r="U1" s="587"/>
      <c r="V1" s="588"/>
    </row>
    <row r="2" spans="1:10" s="934" customFormat="1" ht="25.5">
      <c r="A2" s="933"/>
      <c r="B2" s="1410" t="s">
        <v>343</v>
      </c>
      <c r="C2" s="1410"/>
      <c r="D2" s="1410"/>
      <c r="E2" s="1410"/>
      <c r="F2" s="1410"/>
      <c r="G2" s="1410"/>
      <c r="H2" s="1410"/>
      <c r="I2" s="934" t="s">
        <v>339</v>
      </c>
      <c r="J2" s="935"/>
    </row>
    <row r="3" spans="1:10" s="934" customFormat="1" ht="25.5">
      <c r="A3" s="933"/>
      <c r="B3" s="1410" t="s">
        <v>809</v>
      </c>
      <c r="C3" s="1410"/>
      <c r="D3" s="1410"/>
      <c r="E3" s="1410"/>
      <c r="F3" s="1410"/>
      <c r="G3" s="1410"/>
      <c r="H3" s="1410"/>
      <c r="J3" s="935"/>
    </row>
    <row r="4" spans="1:10" s="936" customFormat="1" ht="33.75" customHeight="1" thickBot="1">
      <c r="A4" s="933"/>
      <c r="B4" s="1411"/>
      <c r="C4" s="1411"/>
      <c r="D4" s="1411"/>
      <c r="E4" s="1411"/>
      <c r="F4" s="1411"/>
      <c r="G4" s="1411"/>
      <c r="H4" s="1411"/>
      <c r="J4" s="937"/>
    </row>
    <row r="5" spans="1:10" s="936" customFormat="1" ht="30.75" hidden="1" thickBot="1">
      <c r="A5" s="933"/>
      <c r="B5" s="1411"/>
      <c r="C5" s="1411"/>
      <c r="D5" s="1411"/>
      <c r="E5" s="1411"/>
      <c r="F5" s="1411"/>
      <c r="G5" s="1411"/>
      <c r="H5" s="1411"/>
      <c r="J5" s="937"/>
    </row>
    <row r="6" spans="1:10" s="938" customFormat="1" ht="23.25" customHeight="1" hidden="1" thickBot="1">
      <c r="A6" s="933"/>
      <c r="C6" s="939"/>
      <c r="D6" s="939"/>
      <c r="E6" s="940"/>
      <c r="F6" s="939"/>
      <c r="G6" s="939"/>
      <c r="H6" s="941"/>
      <c r="J6" s="939"/>
    </row>
    <row r="7" spans="1:10" s="948" customFormat="1" ht="18.75" customHeight="1" thickBot="1">
      <c r="A7" s="942"/>
      <c r="B7" s="943" t="s">
        <v>138</v>
      </c>
      <c r="C7" s="944" t="s">
        <v>139</v>
      </c>
      <c r="D7" s="945" t="s">
        <v>140</v>
      </c>
      <c r="E7" s="946" t="s">
        <v>141</v>
      </c>
      <c r="F7" s="945" t="s">
        <v>427</v>
      </c>
      <c r="G7" s="945" t="s">
        <v>322</v>
      </c>
      <c r="H7" s="947" t="s">
        <v>323</v>
      </c>
      <c r="J7" s="949"/>
    </row>
    <row r="8" spans="1:10" s="938" customFormat="1" ht="16.5" hidden="1" thickBot="1">
      <c r="A8" s="950"/>
      <c r="B8" s="951"/>
      <c r="C8" s="952"/>
      <c r="D8" s="952"/>
      <c r="E8" s="953"/>
      <c r="F8" s="954"/>
      <c r="G8" s="955"/>
      <c r="H8" s="955"/>
      <c r="J8" s="939"/>
    </row>
    <row r="9" spans="1:10" s="961" customFormat="1" ht="4.5" customHeight="1">
      <c r="A9" s="956"/>
      <c r="B9" s="957"/>
      <c r="C9" s="958"/>
      <c r="D9" s="959"/>
      <c r="E9" s="960"/>
      <c r="F9" s="1412"/>
      <c r="G9" s="1413"/>
      <c r="H9" s="1414" t="s">
        <v>413</v>
      </c>
      <c r="J9" s="962"/>
    </row>
    <row r="10" spans="1:10" s="961" customFormat="1" ht="48" customHeight="1">
      <c r="A10" s="950"/>
      <c r="B10" s="963" t="s">
        <v>638</v>
      </c>
      <c r="C10" s="964" t="s">
        <v>366</v>
      </c>
      <c r="D10" s="965" t="s">
        <v>805</v>
      </c>
      <c r="E10" s="965" t="s">
        <v>637</v>
      </c>
      <c r="F10" s="1406" t="s">
        <v>396</v>
      </c>
      <c r="G10" s="1407"/>
      <c r="H10" s="1415"/>
      <c r="I10" s="961" t="s">
        <v>35</v>
      </c>
      <c r="J10" s="962"/>
    </row>
    <row r="11" spans="1:10" s="961" customFormat="1" ht="31.5" customHeight="1">
      <c r="A11" s="950"/>
      <c r="B11" s="967"/>
      <c r="C11" s="968"/>
      <c r="D11" s="969"/>
      <c r="E11" s="970"/>
      <c r="F11" s="971" t="s">
        <v>393</v>
      </c>
      <c r="G11" s="966" t="s">
        <v>281</v>
      </c>
      <c r="H11" s="1407"/>
      <c r="J11" s="962"/>
    </row>
    <row r="12" spans="1:10" s="978" customFormat="1" ht="18.75" customHeight="1" thickBot="1">
      <c r="A12" s="880"/>
      <c r="B12" s="972" t="s">
        <v>464</v>
      </c>
      <c r="C12" s="973" t="s">
        <v>562</v>
      </c>
      <c r="D12" s="974" t="s">
        <v>563</v>
      </c>
      <c r="E12" s="975" t="s">
        <v>564</v>
      </c>
      <c r="F12" s="976" t="s">
        <v>565</v>
      </c>
      <c r="G12" s="977" t="s">
        <v>566</v>
      </c>
      <c r="H12" s="977" t="s">
        <v>509</v>
      </c>
      <c r="J12" s="979"/>
    </row>
    <row r="13" spans="1:10" s="845" customFormat="1" ht="72.75" customHeight="1" hidden="1">
      <c r="A13" s="838" t="s">
        <v>464</v>
      </c>
      <c r="B13" s="839" t="s">
        <v>204</v>
      </c>
      <c r="C13" s="840"/>
      <c r="D13" s="840"/>
      <c r="E13" s="841"/>
      <c r="F13" s="842"/>
      <c r="G13" s="843"/>
      <c r="H13" s="844"/>
      <c r="J13" s="846"/>
    </row>
    <row r="14" spans="1:10" s="853" customFormat="1" ht="15" customHeight="1" hidden="1">
      <c r="A14" s="847"/>
      <c r="B14" s="848"/>
      <c r="C14" s="849"/>
      <c r="D14" s="849"/>
      <c r="E14" s="850"/>
      <c r="F14" s="851"/>
      <c r="G14" s="852"/>
      <c r="H14" s="843"/>
      <c r="J14" s="854"/>
    </row>
    <row r="15" spans="1:10" s="853" customFormat="1" ht="4.5" customHeight="1" hidden="1">
      <c r="A15" s="847"/>
      <c r="B15" s="848"/>
      <c r="C15" s="849"/>
      <c r="D15" s="849"/>
      <c r="E15" s="850"/>
      <c r="F15" s="851"/>
      <c r="G15" s="852"/>
      <c r="H15" s="843"/>
      <c r="J15" s="854"/>
    </row>
    <row r="16" spans="1:10" s="853" customFormat="1" ht="16.5" hidden="1" thickBot="1">
      <c r="A16" s="847" t="s">
        <v>562</v>
      </c>
      <c r="B16" s="848" t="s">
        <v>662</v>
      </c>
      <c r="C16" s="849">
        <v>15000000</v>
      </c>
      <c r="D16" s="849">
        <f>7200000</f>
        <v>7200000</v>
      </c>
      <c r="E16" s="850">
        <f>SUM(C16:D16)</f>
        <v>22200000</v>
      </c>
      <c r="F16" s="851">
        <v>1200000</v>
      </c>
      <c r="G16" s="852"/>
      <c r="H16" s="855"/>
      <c r="J16" s="854"/>
    </row>
    <row r="17" spans="1:10" s="853" customFormat="1" ht="16.5" hidden="1" thickBot="1">
      <c r="A17" s="847" t="s">
        <v>563</v>
      </c>
      <c r="B17" s="848" t="s">
        <v>223</v>
      </c>
      <c r="C17" s="849"/>
      <c r="D17" s="849">
        <f>5105250+1107440+336000</f>
        <v>6548690</v>
      </c>
      <c r="E17" s="850">
        <f>SUM(C17:D17)</f>
        <v>6548690</v>
      </c>
      <c r="F17" s="851">
        <v>17798</v>
      </c>
      <c r="G17" s="852"/>
      <c r="H17" s="855"/>
      <c r="J17" s="854"/>
    </row>
    <row r="18" spans="1:10" s="853" customFormat="1" ht="16.5" hidden="1" thickBot="1">
      <c r="A18" s="847" t="s">
        <v>564</v>
      </c>
      <c r="B18" s="848" t="s">
        <v>222</v>
      </c>
      <c r="C18" s="849"/>
      <c r="D18" s="849"/>
      <c r="E18" s="850"/>
      <c r="F18" s="851">
        <f>14028976+8875474</f>
        <v>22904450</v>
      </c>
      <c r="G18" s="852"/>
      <c r="H18" s="855">
        <f>E19-F19</f>
        <v>4626442</v>
      </c>
      <c r="J18" s="854"/>
    </row>
    <row r="19" spans="1:10" s="860" customFormat="1" ht="25.5" customHeight="1" hidden="1" thickBot="1">
      <c r="A19" s="837" t="s">
        <v>565</v>
      </c>
      <c r="B19" s="856" t="s">
        <v>309</v>
      </c>
      <c r="C19" s="857">
        <f aca="true" t="shared" si="0" ref="C19:H19">SUM(C16:C18)</f>
        <v>15000000</v>
      </c>
      <c r="D19" s="857">
        <f t="shared" si="0"/>
        <v>13748690</v>
      </c>
      <c r="E19" s="857">
        <f t="shared" si="0"/>
        <v>28748690</v>
      </c>
      <c r="F19" s="857">
        <f t="shared" si="0"/>
        <v>24122248</v>
      </c>
      <c r="G19" s="858">
        <f t="shared" si="0"/>
        <v>0</v>
      </c>
      <c r="H19" s="859">
        <f t="shared" si="0"/>
        <v>4626442</v>
      </c>
      <c r="J19" s="861"/>
    </row>
    <row r="20" spans="1:10" s="872" customFormat="1" ht="39.75" customHeight="1">
      <c r="A20" s="864" t="s">
        <v>464</v>
      </c>
      <c r="B20" s="865" t="s">
        <v>27</v>
      </c>
      <c r="C20" s="866"/>
      <c r="D20" s="867"/>
      <c r="E20" s="868"/>
      <c r="F20" s="869"/>
      <c r="G20" s="870"/>
      <c r="H20" s="871"/>
      <c r="J20" s="873"/>
    </row>
    <row r="21" spans="1:10" s="876" customFormat="1" ht="15" customHeight="1" hidden="1">
      <c r="A21" s="874"/>
      <c r="B21" s="875"/>
      <c r="C21" s="867"/>
      <c r="D21" s="867"/>
      <c r="E21" s="868"/>
      <c r="F21" s="869"/>
      <c r="G21" s="863"/>
      <c r="H21" s="870"/>
      <c r="J21" s="877"/>
    </row>
    <row r="22" spans="1:10" s="876" customFormat="1" ht="15.75">
      <c r="A22" s="874" t="s">
        <v>562</v>
      </c>
      <c r="B22" s="878" t="s">
        <v>28</v>
      </c>
      <c r="C22" s="867"/>
      <c r="D22" s="867"/>
      <c r="E22" s="868"/>
      <c r="F22" s="869"/>
      <c r="G22" s="863"/>
      <c r="H22" s="870"/>
      <c r="J22" s="877"/>
    </row>
    <row r="23" spans="1:10" s="876" customFormat="1" ht="15.75">
      <c r="A23" s="874" t="s">
        <v>563</v>
      </c>
      <c r="B23" s="875" t="s">
        <v>662</v>
      </c>
      <c r="C23" s="867"/>
      <c r="D23" s="890">
        <v>600000</v>
      </c>
      <c r="E23" s="892">
        <f>SUM(C23:D23)</f>
        <v>600000</v>
      </c>
      <c r="F23" s="887">
        <v>600000</v>
      </c>
      <c r="G23" s="863"/>
      <c r="H23" s="863"/>
      <c r="J23" s="877"/>
    </row>
    <row r="24" spans="1:10" s="876" customFormat="1" ht="15.75">
      <c r="A24" s="874" t="s">
        <v>564</v>
      </c>
      <c r="B24" s="875" t="s">
        <v>663</v>
      </c>
      <c r="C24" s="867">
        <v>73267842</v>
      </c>
      <c r="D24" s="867"/>
      <c r="E24" s="868">
        <f>SUM(C24:D24)</f>
        <v>73267842</v>
      </c>
      <c r="F24" s="869"/>
      <c r="G24" s="901"/>
      <c r="H24" s="863"/>
      <c r="J24" s="877"/>
    </row>
    <row r="25" spans="1:10" s="876" customFormat="1" ht="15.75">
      <c r="A25" s="874" t="s">
        <v>565</v>
      </c>
      <c r="B25" s="875" t="s">
        <v>222</v>
      </c>
      <c r="C25" s="867"/>
      <c r="D25" s="867"/>
      <c r="E25" s="868">
        <f>SUM(C25:D25)</f>
        <v>0</v>
      </c>
      <c r="F25" s="869">
        <v>29880212</v>
      </c>
      <c r="G25" s="863">
        <v>36331608</v>
      </c>
      <c r="H25" s="863"/>
      <c r="J25" s="877"/>
    </row>
    <row r="26" spans="1:10" s="876" customFormat="1" ht="15.75">
      <c r="A26" s="874" t="s">
        <v>566</v>
      </c>
      <c r="B26" s="875" t="s">
        <v>558</v>
      </c>
      <c r="C26" s="867">
        <f>35729229-36936234</f>
        <v>-1207005</v>
      </c>
      <c r="D26" s="867"/>
      <c r="E26" s="868">
        <f>SUM(C26:D26)</f>
        <v>-1207005</v>
      </c>
      <c r="F26" s="869">
        <f>72289550-31332234</f>
        <v>40957316</v>
      </c>
      <c r="G26" s="863">
        <v>31332234</v>
      </c>
      <c r="H26" s="863"/>
      <c r="J26" s="877"/>
    </row>
    <row r="27" spans="1:10" s="885" customFormat="1" ht="25.5" customHeight="1" thickBot="1">
      <c r="A27" s="880" t="s">
        <v>567</v>
      </c>
      <c r="B27" s="881" t="s">
        <v>309</v>
      </c>
      <c r="C27" s="882">
        <f>SUM(C23:C26)</f>
        <v>72060837</v>
      </c>
      <c r="D27" s="882">
        <f>SUM(D23:D26)</f>
        <v>600000</v>
      </c>
      <c r="E27" s="882">
        <f>SUM(E23:E26)</f>
        <v>72660837</v>
      </c>
      <c r="F27" s="882">
        <f>SUM(F23:F26)</f>
        <v>71437528</v>
      </c>
      <c r="G27" s="883">
        <f>SUM(G23:G26)</f>
        <v>67663842</v>
      </c>
      <c r="H27" s="884">
        <f>E27-F27</f>
        <v>1223309</v>
      </c>
      <c r="I27" s="885">
        <f>11181189+3525472+27480969+1200000</f>
        <v>43387630</v>
      </c>
      <c r="J27" s="886">
        <f>I27-H27</f>
        <v>42164321</v>
      </c>
    </row>
    <row r="28" spans="1:10" s="872" customFormat="1" ht="43.5" customHeight="1">
      <c r="A28" s="864" t="s">
        <v>590</v>
      </c>
      <c r="B28" s="865" t="s">
        <v>26</v>
      </c>
      <c r="C28" s="866"/>
      <c r="D28" s="867"/>
      <c r="E28" s="868"/>
      <c r="F28" s="869"/>
      <c r="G28" s="870"/>
      <c r="H28" s="871"/>
      <c r="J28" s="873"/>
    </row>
    <row r="29" spans="1:10" s="876" customFormat="1" ht="15" customHeight="1" hidden="1">
      <c r="A29" s="874"/>
      <c r="B29" s="875"/>
      <c r="C29" s="867"/>
      <c r="D29" s="867"/>
      <c r="E29" s="868"/>
      <c r="F29" s="869"/>
      <c r="G29" s="863"/>
      <c r="H29" s="870"/>
      <c r="J29" s="877"/>
    </row>
    <row r="30" spans="1:10" s="876" customFormat="1" ht="12.75" customHeight="1">
      <c r="A30" s="874" t="s">
        <v>351</v>
      </c>
      <c r="B30" s="878" t="s">
        <v>25</v>
      </c>
      <c r="C30" s="867"/>
      <c r="D30" s="867"/>
      <c r="E30" s="868"/>
      <c r="F30" s="869"/>
      <c r="G30" s="863"/>
      <c r="H30" s="870"/>
      <c r="J30" s="877"/>
    </row>
    <row r="31" spans="1:10" s="876" customFormat="1" ht="15.75" hidden="1">
      <c r="A31" s="874"/>
      <c r="B31" s="875" t="s">
        <v>662</v>
      </c>
      <c r="C31" s="867"/>
      <c r="D31" s="867"/>
      <c r="E31" s="868">
        <f>SUM(C31:D31)</f>
        <v>0</v>
      </c>
      <c r="F31" s="869"/>
      <c r="G31" s="863"/>
      <c r="H31" s="863"/>
      <c r="J31" s="877"/>
    </row>
    <row r="32" spans="1:10" s="876" customFormat="1" ht="15.75">
      <c r="A32" s="874" t="s">
        <v>174</v>
      </c>
      <c r="B32" s="875" t="s">
        <v>223</v>
      </c>
      <c r="C32" s="867">
        <f>130438440*0.95</f>
        <v>123916518</v>
      </c>
      <c r="D32" s="867">
        <f>130438440*0.05+2984500</f>
        <v>9506422</v>
      </c>
      <c r="E32" s="868">
        <f>SUM(C32:D32)</f>
        <v>133422940</v>
      </c>
      <c r="F32" s="869">
        <v>9859500</v>
      </c>
      <c r="G32" s="863"/>
      <c r="H32" s="863"/>
      <c r="J32" s="877"/>
    </row>
    <row r="33" spans="1:10" s="876" customFormat="1" ht="15.75">
      <c r="A33" s="874" t="s">
        <v>375</v>
      </c>
      <c r="B33" s="875" t="s">
        <v>222</v>
      </c>
      <c r="C33" s="867"/>
      <c r="D33" s="867"/>
      <c r="E33" s="868"/>
      <c r="F33" s="869">
        <f>32849857+1728895</f>
        <v>34578752</v>
      </c>
      <c r="G33" s="863">
        <v>37288204</v>
      </c>
      <c r="H33" s="863"/>
      <c r="J33" s="877"/>
    </row>
    <row r="34" spans="1:10" s="876" customFormat="1" ht="15.75">
      <c r="A34" s="874" t="s">
        <v>376</v>
      </c>
      <c r="B34" s="875" t="s">
        <v>558</v>
      </c>
      <c r="C34" s="867"/>
      <c r="D34" s="867"/>
      <c r="E34" s="868"/>
      <c r="F34" s="869">
        <f>77260700-23458368+28978319</f>
        <v>82780651</v>
      </c>
      <c r="G34" s="863">
        <v>23458368</v>
      </c>
      <c r="H34" s="863"/>
      <c r="J34" s="877"/>
    </row>
    <row r="35" spans="1:10" s="885" customFormat="1" ht="25.5" customHeight="1" thickBot="1">
      <c r="A35" s="880" t="s">
        <v>142</v>
      </c>
      <c r="B35" s="881" t="s">
        <v>309</v>
      </c>
      <c r="C35" s="882">
        <f aca="true" t="shared" si="1" ref="C35:H35">SUM(C32:C34)</f>
        <v>123916518</v>
      </c>
      <c r="D35" s="882">
        <f t="shared" si="1"/>
        <v>9506422</v>
      </c>
      <c r="E35" s="882">
        <f t="shared" si="1"/>
        <v>133422940</v>
      </c>
      <c r="F35" s="882">
        <f t="shared" si="1"/>
        <v>127218903</v>
      </c>
      <c r="G35" s="883">
        <f t="shared" si="1"/>
        <v>60746572</v>
      </c>
      <c r="H35" s="931">
        <f t="shared" si="1"/>
        <v>0</v>
      </c>
      <c r="I35" s="885">
        <v>88984688</v>
      </c>
      <c r="J35" s="886">
        <f>I35-H35</f>
        <v>88984688</v>
      </c>
    </row>
    <row r="36" spans="1:10" s="872" customFormat="1" ht="56.25">
      <c r="A36" s="864" t="s">
        <v>377</v>
      </c>
      <c r="B36" s="865" t="s">
        <v>29</v>
      </c>
      <c r="C36" s="866"/>
      <c r="D36" s="867"/>
      <c r="E36" s="868"/>
      <c r="F36" s="869"/>
      <c r="G36" s="870"/>
      <c r="H36" s="871"/>
      <c r="J36" s="873"/>
    </row>
    <row r="37" spans="1:10" s="876" customFormat="1" ht="89.25" customHeight="1" hidden="1">
      <c r="A37" s="874"/>
      <c r="B37" s="875"/>
      <c r="C37" s="867"/>
      <c r="D37" s="867"/>
      <c r="E37" s="868"/>
      <c r="F37" s="869"/>
      <c r="G37" s="863"/>
      <c r="H37" s="870"/>
      <c r="J37" s="877"/>
    </row>
    <row r="38" spans="1:10" s="876" customFormat="1" ht="15.75">
      <c r="A38" s="874" t="s">
        <v>378</v>
      </c>
      <c r="B38" s="878" t="s">
        <v>30</v>
      </c>
      <c r="C38" s="867"/>
      <c r="D38" s="867"/>
      <c r="E38" s="868"/>
      <c r="F38" s="869"/>
      <c r="G38" s="863"/>
      <c r="H38" s="870"/>
      <c r="J38" s="877"/>
    </row>
    <row r="39" spans="1:10" s="876" customFormat="1" ht="15.75" hidden="1">
      <c r="A39" s="874" t="s">
        <v>142</v>
      </c>
      <c r="B39" s="875" t="s">
        <v>662</v>
      </c>
      <c r="C39" s="867"/>
      <c r="D39" s="867"/>
      <c r="E39" s="868"/>
      <c r="F39" s="869"/>
      <c r="G39" s="863"/>
      <c r="H39" s="879"/>
      <c r="J39" s="877"/>
    </row>
    <row r="40" spans="1:10" s="876" customFormat="1" ht="15.75">
      <c r="A40" s="874" t="s">
        <v>503</v>
      </c>
      <c r="B40" s="875" t="s">
        <v>223</v>
      </c>
      <c r="C40" s="867">
        <v>150000000</v>
      </c>
      <c r="D40" s="867">
        <f>16666667+193254133-6330950</f>
        <v>203589850</v>
      </c>
      <c r="E40" s="868">
        <f>SUM(C40:D40)</f>
        <v>353589850</v>
      </c>
      <c r="F40" s="869">
        <f>6330950-6350</f>
        <v>6324600</v>
      </c>
      <c r="G40" s="863"/>
      <c r="H40" s="879"/>
      <c r="J40" s="877"/>
    </row>
    <row r="41" spans="1:10" s="876" customFormat="1" ht="15.75">
      <c r="A41" s="874" t="s">
        <v>504</v>
      </c>
      <c r="B41" s="875" t="s">
        <v>183</v>
      </c>
      <c r="C41" s="867"/>
      <c r="D41" s="867"/>
      <c r="E41" s="868">
        <f>SUM(C41:D41)</f>
        <v>0</v>
      </c>
      <c r="F41" s="869">
        <v>133350</v>
      </c>
      <c r="G41" s="863"/>
      <c r="H41" s="879"/>
      <c r="J41" s="877"/>
    </row>
    <row r="42" spans="1:10" s="876" customFormat="1" ht="15.75">
      <c r="A42" s="874" t="s">
        <v>505</v>
      </c>
      <c r="B42" s="875" t="s">
        <v>558</v>
      </c>
      <c r="C42" s="867"/>
      <c r="D42" s="867">
        <f>49737795*1.27</f>
        <v>63166999.65</v>
      </c>
      <c r="E42" s="868">
        <f>SUM(C42:D42)</f>
        <v>63166999.65</v>
      </c>
      <c r="F42" s="869">
        <f>+294640</f>
        <v>294640</v>
      </c>
      <c r="G42" s="863"/>
      <c r="H42" s="879"/>
      <c r="J42" s="877"/>
    </row>
    <row r="43" spans="1:10" s="885" customFormat="1" ht="25.5" customHeight="1" thickBot="1">
      <c r="A43" s="880" t="s">
        <v>143</v>
      </c>
      <c r="B43" s="881" t="s">
        <v>309</v>
      </c>
      <c r="C43" s="882">
        <f>SUM(C39:C42)</f>
        <v>150000000</v>
      </c>
      <c r="D43" s="882">
        <f>SUM(D39:D42)</f>
        <v>266756849.65</v>
      </c>
      <c r="E43" s="882">
        <f>SUM(E39:E42)</f>
        <v>416756849.65</v>
      </c>
      <c r="F43" s="882">
        <f>SUM(F39:F42)</f>
        <v>6752590</v>
      </c>
      <c r="G43" s="883">
        <f>SUM(G39:G42)</f>
        <v>0</v>
      </c>
      <c r="H43" s="884">
        <f>E43-F43</f>
        <v>410004259.65</v>
      </c>
      <c r="I43" s="885">
        <v>410298900</v>
      </c>
      <c r="J43" s="886">
        <f>I43-H43</f>
        <v>294640.35000002384</v>
      </c>
    </row>
    <row r="44" spans="1:10" s="872" customFormat="1" ht="36" customHeight="1">
      <c r="A44" s="864" t="s">
        <v>144</v>
      </c>
      <c r="B44" s="865" t="s">
        <v>31</v>
      </c>
      <c r="C44" s="866"/>
      <c r="D44" s="867"/>
      <c r="E44" s="868"/>
      <c r="F44" s="869"/>
      <c r="G44" s="870"/>
      <c r="H44" s="871"/>
      <c r="J44" s="873"/>
    </row>
    <row r="45" spans="1:10" s="876" customFormat="1" ht="15" customHeight="1" hidden="1">
      <c r="A45" s="874"/>
      <c r="B45" s="875"/>
      <c r="C45" s="867"/>
      <c r="D45" s="867"/>
      <c r="E45" s="868"/>
      <c r="F45" s="869"/>
      <c r="G45" s="863"/>
      <c r="H45" s="870"/>
      <c r="J45" s="877"/>
    </row>
    <row r="46" spans="1:10" s="876" customFormat="1" ht="18.75" customHeight="1">
      <c r="A46" s="874" t="s">
        <v>145</v>
      </c>
      <c r="B46" s="878" t="s">
        <v>32</v>
      </c>
      <c r="C46" s="867"/>
      <c r="D46" s="867"/>
      <c r="E46" s="868"/>
      <c r="F46" s="869"/>
      <c r="G46" s="863"/>
      <c r="H46" s="870"/>
      <c r="I46" s="869"/>
      <c r="J46" s="877"/>
    </row>
    <row r="47" spans="1:10" s="876" customFormat="1" ht="15.75">
      <c r="A47" s="874" t="s">
        <v>146</v>
      </c>
      <c r="B47" s="875" t="s">
        <v>663</v>
      </c>
      <c r="C47" s="867">
        <v>199583758</v>
      </c>
      <c r="D47" s="867">
        <f>116424692</f>
        <v>116424692</v>
      </c>
      <c r="E47" s="868">
        <f>SUM(C47:D47)</f>
        <v>316008450</v>
      </c>
      <c r="F47" s="887">
        <v>4800600</v>
      </c>
      <c r="G47" s="863"/>
      <c r="H47" s="879"/>
      <c r="J47" s="877"/>
    </row>
    <row r="48" spans="1:10" s="876" customFormat="1" ht="15.75">
      <c r="A48" s="874" t="s">
        <v>147</v>
      </c>
      <c r="B48" s="875" t="s">
        <v>222</v>
      </c>
      <c r="C48" s="867"/>
      <c r="D48" s="867">
        <f>25876826*1.27</f>
        <v>32863569.02</v>
      </c>
      <c r="E48" s="868">
        <f>SUM(C48:D48)</f>
        <v>32863569.02</v>
      </c>
      <c r="F48" s="869">
        <f>191675+9592791+504884</f>
        <v>10289350</v>
      </c>
      <c r="G48" s="863">
        <v>9410700</v>
      </c>
      <c r="H48" s="879"/>
      <c r="J48" s="877"/>
    </row>
    <row r="49" spans="1:10" s="876" customFormat="1" ht="15.75">
      <c r="A49" s="874" t="s">
        <v>148</v>
      </c>
      <c r="B49" s="875" t="s">
        <v>558</v>
      </c>
      <c r="C49" s="867">
        <v>10009108</v>
      </c>
      <c r="D49" s="867">
        <v>-10009108</v>
      </c>
      <c r="E49" s="868">
        <f>SUM(C49:D49)</f>
        <v>0</v>
      </c>
      <c r="F49" s="869">
        <f>382591210-187251564+41376089</f>
        <v>236715735</v>
      </c>
      <c r="G49" s="863">
        <v>187251564</v>
      </c>
      <c r="H49" s="879"/>
      <c r="J49" s="877"/>
    </row>
    <row r="50" spans="1:10" s="885" customFormat="1" ht="25.5" customHeight="1" thickBot="1">
      <c r="A50" s="880" t="s">
        <v>149</v>
      </c>
      <c r="B50" s="881" t="s">
        <v>309</v>
      </c>
      <c r="C50" s="882">
        <f>SUM(C47:C49)</f>
        <v>209592866</v>
      </c>
      <c r="D50" s="882">
        <f>SUM(D47:D49)</f>
        <v>139279153.02</v>
      </c>
      <c r="E50" s="882">
        <f>SUM(E47:E49)</f>
        <v>348872019.02</v>
      </c>
      <c r="F50" s="882">
        <f>SUM(F47:F49)</f>
        <v>251805685</v>
      </c>
      <c r="G50" s="883">
        <f>SUM(G47:G49)</f>
        <v>196662264</v>
      </c>
      <c r="H50" s="884">
        <f>E50-F50</f>
        <v>97066334.01999998</v>
      </c>
      <c r="I50" s="885">
        <v>333782069</v>
      </c>
      <c r="J50" s="886">
        <f>I50-H50</f>
        <v>236715734.98000002</v>
      </c>
    </row>
    <row r="51" spans="1:10" s="872" customFormat="1" ht="46.5" customHeight="1">
      <c r="A51" s="864" t="s">
        <v>379</v>
      </c>
      <c r="B51" s="865" t="s">
        <v>34</v>
      </c>
      <c r="C51" s="866"/>
      <c r="D51" s="867"/>
      <c r="E51" s="868"/>
      <c r="F51" s="869"/>
      <c r="G51" s="870"/>
      <c r="H51" s="871"/>
      <c r="J51" s="873"/>
    </row>
    <row r="52" spans="1:10" s="876" customFormat="1" ht="15" customHeight="1" hidden="1">
      <c r="A52" s="874"/>
      <c r="B52" s="875"/>
      <c r="C52" s="867"/>
      <c r="D52" s="867"/>
      <c r="E52" s="868"/>
      <c r="F52" s="869"/>
      <c r="G52" s="863"/>
      <c r="H52" s="870"/>
      <c r="J52" s="877"/>
    </row>
    <row r="53" spans="1:10" s="876" customFormat="1" ht="15.75">
      <c r="A53" s="874" t="s">
        <v>150</v>
      </c>
      <c r="B53" s="878" t="s">
        <v>33</v>
      </c>
      <c r="C53" s="867"/>
      <c r="D53" s="867"/>
      <c r="E53" s="868"/>
      <c r="F53" s="869"/>
      <c r="G53" s="863"/>
      <c r="H53" s="870"/>
      <c r="J53" s="877"/>
    </row>
    <row r="54" spans="1:10" s="876" customFormat="1" ht="15.75">
      <c r="A54" s="874" t="s">
        <v>151</v>
      </c>
      <c r="B54" s="875" t="s">
        <v>663</v>
      </c>
      <c r="C54" s="867">
        <v>199754477</v>
      </c>
      <c r="D54" s="867">
        <f>163574149</f>
        <v>163574149</v>
      </c>
      <c r="E54" s="868">
        <f>SUM(C54:D54)</f>
        <v>363328626</v>
      </c>
      <c r="F54" s="869">
        <v>4800600</v>
      </c>
      <c r="G54" s="863"/>
      <c r="H54" s="863"/>
      <c r="J54" s="877"/>
    </row>
    <row r="55" spans="1:10" s="876" customFormat="1" ht="15.75">
      <c r="A55" s="874" t="s">
        <v>152</v>
      </c>
      <c r="B55" s="875" t="s">
        <v>222</v>
      </c>
      <c r="C55" s="867"/>
      <c r="D55" s="867"/>
      <c r="E55" s="868">
        <f>SUM(C55:D55)</f>
        <v>0</v>
      </c>
      <c r="F55" s="869">
        <f>8225235+3762394+198021</f>
        <v>12185650</v>
      </c>
      <c r="G55" s="863"/>
      <c r="H55" s="863"/>
      <c r="J55" s="877"/>
    </row>
    <row r="56" spans="1:10" s="876" customFormat="1" ht="15.75">
      <c r="A56" s="874" t="s">
        <v>153</v>
      </c>
      <c r="B56" s="875" t="s">
        <v>558</v>
      </c>
      <c r="C56" s="867">
        <f>10513394-(210267871-210251593)</f>
        <v>10497116</v>
      </c>
      <c r="D56" s="867">
        <v>-10513394</v>
      </c>
      <c r="E56" s="868">
        <f>SUM(C56:D56)</f>
        <v>-16278</v>
      </c>
      <c r="F56" s="869">
        <f>394368088-G56+108124107</f>
        <v>309738106</v>
      </c>
      <c r="G56" s="863">
        <v>192754089</v>
      </c>
      <c r="H56" s="879"/>
      <c r="J56" s="877"/>
    </row>
    <row r="57" spans="1:10" s="885" customFormat="1" ht="25.5" customHeight="1" thickBot="1">
      <c r="A57" s="880" t="s">
        <v>154</v>
      </c>
      <c r="B57" s="881" t="s">
        <v>309</v>
      </c>
      <c r="C57" s="882">
        <f>SUM(C54:C56)</f>
        <v>210251593</v>
      </c>
      <c r="D57" s="882">
        <f>SUM(D54:D56)</f>
        <v>153060755</v>
      </c>
      <c r="E57" s="882">
        <f>SUM(E54:E56)</f>
        <v>363312348</v>
      </c>
      <c r="F57" s="882">
        <f>SUM(F54:F56)</f>
        <v>326724356</v>
      </c>
      <c r="G57" s="883">
        <f>SUM(G54:G56)</f>
        <v>192754089</v>
      </c>
      <c r="H57" s="884">
        <f>E57-F57</f>
        <v>36587992</v>
      </c>
      <c r="I57" s="885">
        <v>346342376</v>
      </c>
      <c r="J57" s="886">
        <f>I57-H57</f>
        <v>309754384</v>
      </c>
    </row>
    <row r="58" spans="1:10" s="845" customFormat="1" ht="88.5" customHeight="1" hidden="1">
      <c r="A58" s="838"/>
      <c r="B58" s="839" t="s">
        <v>806</v>
      </c>
      <c r="C58" s="862" t="s">
        <v>205</v>
      </c>
      <c r="D58" s="849"/>
      <c r="E58" s="850"/>
      <c r="F58" s="851"/>
      <c r="G58" s="843"/>
      <c r="H58" s="844"/>
      <c r="J58" s="846"/>
    </row>
    <row r="59" spans="1:10" s="853" customFormat="1" ht="15" customHeight="1" hidden="1">
      <c r="A59" s="847"/>
      <c r="B59" s="848"/>
      <c r="C59" s="849"/>
      <c r="D59" s="849"/>
      <c r="E59" s="850"/>
      <c r="F59" s="851"/>
      <c r="G59" s="852"/>
      <c r="H59" s="843"/>
      <c r="J59" s="854"/>
    </row>
    <row r="60" spans="1:10" s="853" customFormat="1" ht="4.5" customHeight="1" hidden="1">
      <c r="A60" s="847"/>
      <c r="B60" s="848"/>
      <c r="C60" s="849"/>
      <c r="D60" s="849"/>
      <c r="E60" s="850"/>
      <c r="F60" s="851"/>
      <c r="G60" s="852"/>
      <c r="H60" s="843"/>
      <c r="J60" s="854"/>
    </row>
    <row r="61" spans="1:10" s="853" customFormat="1" ht="16.5" hidden="1" thickBot="1">
      <c r="A61" s="847"/>
      <c r="B61" s="848" t="s">
        <v>663</v>
      </c>
      <c r="C61" s="849"/>
      <c r="D61" s="849"/>
      <c r="E61" s="850">
        <f>SUM(C61:D61)</f>
        <v>0</v>
      </c>
      <c r="F61" s="851"/>
      <c r="G61" s="852"/>
      <c r="H61" s="855">
        <f>E61-F61</f>
        <v>0</v>
      </c>
      <c r="J61" s="854"/>
    </row>
    <row r="62" spans="1:10" s="853" customFormat="1" ht="16.5" hidden="1" thickBot="1">
      <c r="A62" s="847"/>
      <c r="B62" s="848"/>
      <c r="C62" s="849"/>
      <c r="D62" s="849"/>
      <c r="E62" s="850">
        <f>SUM(C62:D62)</f>
        <v>0</v>
      </c>
      <c r="F62" s="851"/>
      <c r="G62" s="852"/>
      <c r="H62" s="855"/>
      <c r="J62" s="854"/>
    </row>
    <row r="63" spans="1:10" s="860" customFormat="1" ht="27" customHeight="1" hidden="1" thickBot="1">
      <c r="A63" s="837"/>
      <c r="B63" s="856" t="s">
        <v>309</v>
      </c>
      <c r="C63" s="857">
        <f aca="true" t="shared" si="2" ref="C63:H63">SUM(C58:C62)</f>
        <v>0</v>
      </c>
      <c r="D63" s="857">
        <f t="shared" si="2"/>
        <v>0</v>
      </c>
      <c r="E63" s="857">
        <f t="shared" si="2"/>
        <v>0</v>
      </c>
      <c r="F63" s="857">
        <f t="shared" si="2"/>
        <v>0</v>
      </c>
      <c r="G63" s="859">
        <f t="shared" si="2"/>
        <v>0</v>
      </c>
      <c r="H63" s="859">
        <f t="shared" si="2"/>
        <v>0</v>
      </c>
      <c r="J63" s="861"/>
    </row>
    <row r="64" spans="1:10" s="898" customFormat="1" ht="33" customHeight="1">
      <c r="A64" s="888" t="s">
        <v>155</v>
      </c>
      <c r="B64" s="928" t="s">
        <v>555</v>
      </c>
      <c r="C64" s="890"/>
      <c r="D64" s="891"/>
      <c r="E64" s="892"/>
      <c r="F64" s="893"/>
      <c r="G64" s="894"/>
      <c r="H64" s="895"/>
      <c r="J64" s="897"/>
    </row>
    <row r="65" spans="1:10" s="904" customFormat="1" ht="18.75">
      <c r="A65" s="899" t="s">
        <v>156</v>
      </c>
      <c r="B65" s="900" t="s">
        <v>22</v>
      </c>
      <c r="C65" s="891"/>
      <c r="D65" s="891"/>
      <c r="E65" s="892"/>
      <c r="F65" s="887"/>
      <c r="G65" s="901"/>
      <c r="H65" s="895"/>
      <c r="J65" s="903"/>
    </row>
    <row r="66" spans="1:10" s="904" customFormat="1" ht="18.75">
      <c r="A66" s="905" t="s">
        <v>157</v>
      </c>
      <c r="B66" s="906" t="s">
        <v>222</v>
      </c>
      <c r="C66" s="890">
        <v>40000000</v>
      </c>
      <c r="D66" s="890">
        <v>320000</v>
      </c>
      <c r="E66" s="868">
        <f>SUM(C66:D66)</f>
        <v>40320000</v>
      </c>
      <c r="F66" s="887">
        <v>317500</v>
      </c>
      <c r="G66" s="901"/>
      <c r="H66" s="907"/>
      <c r="J66" s="903"/>
    </row>
    <row r="67" spans="1:10" s="904" customFormat="1" ht="18.75">
      <c r="A67" s="905" t="s">
        <v>158</v>
      </c>
      <c r="B67" s="875" t="s">
        <v>558</v>
      </c>
      <c r="C67" s="890"/>
      <c r="D67" s="890"/>
      <c r="E67" s="868">
        <f>SUM(C67:D67)</f>
        <v>0</v>
      </c>
      <c r="F67" s="887">
        <f>51698221-13795000</f>
        <v>37903221</v>
      </c>
      <c r="G67" s="901">
        <v>13795000</v>
      </c>
      <c r="H67" s="907"/>
      <c r="J67" s="903"/>
    </row>
    <row r="68" spans="1:10" s="898" customFormat="1" ht="35.25" customHeight="1" thickBot="1">
      <c r="A68" s="908" t="s">
        <v>159</v>
      </c>
      <c r="B68" s="909" t="s">
        <v>309</v>
      </c>
      <c r="C68" s="910">
        <f aca="true" t="shared" si="3" ref="C68:H68">SUM(C66:C67)</f>
        <v>40000000</v>
      </c>
      <c r="D68" s="910">
        <f t="shared" si="3"/>
        <v>320000</v>
      </c>
      <c r="E68" s="910">
        <f t="shared" si="3"/>
        <v>40320000</v>
      </c>
      <c r="F68" s="910">
        <f t="shared" si="3"/>
        <v>38220721</v>
      </c>
      <c r="G68" s="911">
        <f t="shared" si="3"/>
        <v>13795000</v>
      </c>
      <c r="H68" s="932">
        <f t="shared" si="3"/>
        <v>0</v>
      </c>
      <c r="I68" s="896">
        <f>5895000+3105000+27000000+4000000+2500</f>
        <v>40002500</v>
      </c>
      <c r="J68" s="897"/>
    </row>
    <row r="69" spans="1:10" s="898" customFormat="1" ht="37.5">
      <c r="A69" s="888" t="s">
        <v>160</v>
      </c>
      <c r="B69" s="889" t="s">
        <v>556</v>
      </c>
      <c r="C69" s="890"/>
      <c r="D69" s="891"/>
      <c r="E69" s="892"/>
      <c r="F69" s="893"/>
      <c r="G69" s="894"/>
      <c r="H69" s="895"/>
      <c r="I69" s="896"/>
      <c r="J69" s="897"/>
    </row>
    <row r="70" spans="1:10" s="904" customFormat="1" ht="18.75">
      <c r="A70" s="899" t="s">
        <v>161</v>
      </c>
      <c r="B70" s="900" t="s">
        <v>23</v>
      </c>
      <c r="C70" s="891"/>
      <c r="D70" s="891"/>
      <c r="E70" s="892"/>
      <c r="F70" s="887"/>
      <c r="G70" s="901"/>
      <c r="H70" s="895"/>
      <c r="I70" s="902"/>
      <c r="J70" s="903"/>
    </row>
    <row r="71" spans="1:10" s="904" customFormat="1" ht="18.75">
      <c r="A71" s="905" t="s">
        <v>162</v>
      </c>
      <c r="B71" s="906" t="s">
        <v>222</v>
      </c>
      <c r="C71" s="890">
        <v>25032269</v>
      </c>
      <c r="D71" s="891"/>
      <c r="E71" s="892">
        <f>SUM(C71:D71)</f>
        <v>25032269</v>
      </c>
      <c r="F71" s="887">
        <v>63500</v>
      </c>
      <c r="G71" s="901"/>
      <c r="H71" s="907"/>
      <c r="I71" s="902"/>
      <c r="J71" s="903"/>
    </row>
    <row r="72" spans="1:10" s="904" customFormat="1" ht="18.75">
      <c r="A72" s="905" t="s">
        <v>380</v>
      </c>
      <c r="B72" s="906" t="s">
        <v>558</v>
      </c>
      <c r="C72" s="890">
        <f>(12407566+12407564)-25032269</f>
        <v>-217139</v>
      </c>
      <c r="D72" s="891"/>
      <c r="E72" s="892">
        <f>SUM(C72:D72)</f>
        <v>-217139</v>
      </c>
      <c r="F72" s="887">
        <f>49492465-13542775-11195060</f>
        <v>24754630</v>
      </c>
      <c r="G72" s="901">
        <f>13542775+11198060</f>
        <v>24740835</v>
      </c>
      <c r="H72" s="907"/>
      <c r="I72" s="902"/>
      <c r="J72" s="903"/>
    </row>
    <row r="73" spans="1:10" s="898" customFormat="1" ht="35.25" customHeight="1" thickBot="1">
      <c r="A73" s="908" t="s">
        <v>381</v>
      </c>
      <c r="B73" s="909" t="s">
        <v>309</v>
      </c>
      <c r="C73" s="910">
        <f>SUM(C71:C72)</f>
        <v>24815130</v>
      </c>
      <c r="D73" s="910">
        <f aca="true" t="shared" si="4" ref="D73:J73">SUM(D71:D72)</f>
        <v>0</v>
      </c>
      <c r="E73" s="910">
        <f t="shared" si="4"/>
        <v>24815130</v>
      </c>
      <c r="F73" s="910">
        <f t="shared" si="4"/>
        <v>24818130</v>
      </c>
      <c r="G73" s="911">
        <f t="shared" si="4"/>
        <v>24740835</v>
      </c>
      <c r="H73" s="912">
        <f t="shared" si="4"/>
        <v>0</v>
      </c>
      <c r="I73" s="910">
        <f t="shared" si="4"/>
        <v>0</v>
      </c>
      <c r="J73" s="910">
        <f t="shared" si="4"/>
        <v>0</v>
      </c>
    </row>
    <row r="74" spans="1:10" s="898" customFormat="1" ht="37.5">
      <c r="A74" s="888" t="s">
        <v>163</v>
      </c>
      <c r="B74" s="889" t="s">
        <v>557</v>
      </c>
      <c r="C74" s="890"/>
      <c r="D74" s="891"/>
      <c r="E74" s="892"/>
      <c r="F74" s="893"/>
      <c r="G74" s="894"/>
      <c r="H74" s="895"/>
      <c r="I74" s="896"/>
      <c r="J74" s="897"/>
    </row>
    <row r="75" spans="1:10" s="904" customFormat="1" ht="19.5" customHeight="1">
      <c r="A75" s="899" t="s">
        <v>118</v>
      </c>
      <c r="B75" s="913" t="s">
        <v>24</v>
      </c>
      <c r="C75" s="891"/>
      <c r="D75" s="891"/>
      <c r="E75" s="892"/>
      <c r="F75" s="887"/>
      <c r="G75" s="901"/>
      <c r="H75" s="895"/>
      <c r="I75" s="902"/>
      <c r="J75" s="903"/>
    </row>
    <row r="76" spans="1:10" s="904" customFormat="1" ht="18.75">
      <c r="A76" s="905" t="s">
        <v>119</v>
      </c>
      <c r="B76" s="914" t="s">
        <v>222</v>
      </c>
      <c r="C76" s="890">
        <v>25073665</v>
      </c>
      <c r="D76" s="891"/>
      <c r="E76" s="892">
        <f>SUM(C76:D76)</f>
        <v>25073665</v>
      </c>
      <c r="F76" s="887">
        <v>63500</v>
      </c>
      <c r="G76" s="901"/>
      <c r="H76" s="907"/>
      <c r="I76" s="902"/>
      <c r="J76" s="903"/>
    </row>
    <row r="77" spans="1:10" s="917" customFormat="1" ht="18.75">
      <c r="A77" s="905" t="s">
        <v>132</v>
      </c>
      <c r="B77" s="914" t="s">
        <v>558</v>
      </c>
      <c r="C77" s="890">
        <f>24928706-25073665</f>
        <v>-144959</v>
      </c>
      <c r="D77" s="890"/>
      <c r="E77" s="892">
        <f>SUM(C77:D77)</f>
        <v>-144959</v>
      </c>
      <c r="F77" s="887">
        <f>49719617-24854411</f>
        <v>24865206</v>
      </c>
      <c r="G77" s="901">
        <v>24854411</v>
      </c>
      <c r="H77" s="895"/>
      <c r="I77" s="915"/>
      <c r="J77" s="916"/>
    </row>
    <row r="78" spans="1:10" s="917" customFormat="1" ht="15.75" hidden="1">
      <c r="A78" s="905"/>
      <c r="B78" s="914"/>
      <c r="C78" s="890"/>
      <c r="D78" s="890"/>
      <c r="E78" s="892">
        <f>SUM(C78:D78)</f>
        <v>0</v>
      </c>
      <c r="F78" s="887"/>
      <c r="G78" s="901"/>
      <c r="H78" s="918"/>
      <c r="I78" s="915"/>
      <c r="J78" s="916"/>
    </row>
    <row r="79" spans="1:10" s="925" customFormat="1" ht="15.75" hidden="1">
      <c r="A79" s="919"/>
      <c r="B79" s="920"/>
      <c r="C79" s="890"/>
      <c r="D79" s="921"/>
      <c r="E79" s="892">
        <f>SUM(C79:D79)</f>
        <v>0</v>
      </c>
      <c r="F79" s="887"/>
      <c r="G79" s="901"/>
      <c r="H79" s="922"/>
      <c r="I79" s="923"/>
      <c r="J79" s="924"/>
    </row>
    <row r="80" spans="1:10" s="898" customFormat="1" ht="35.25" customHeight="1" thickBot="1">
      <c r="A80" s="908" t="s">
        <v>133</v>
      </c>
      <c r="B80" s="926" t="s">
        <v>309</v>
      </c>
      <c r="C80" s="910">
        <f>SUM(C74:C79)</f>
        <v>24928706</v>
      </c>
      <c r="D80" s="910">
        <f>SUM(D74:D79)</f>
        <v>0</v>
      </c>
      <c r="E80" s="910">
        <f>SUM(E74:E79)</f>
        <v>24928706</v>
      </c>
      <c r="F80" s="910">
        <f>SUM(F74:F79)</f>
        <v>24928706</v>
      </c>
      <c r="G80" s="911">
        <f>SUM(G74:G79)</f>
        <v>24854411</v>
      </c>
      <c r="H80" s="884">
        <f>E80-F80</f>
        <v>0</v>
      </c>
      <c r="I80" s="896">
        <f>2891847+22118317+1</f>
        <v>25010165</v>
      </c>
      <c r="J80" s="897" t="s">
        <v>36</v>
      </c>
    </row>
    <row r="81" spans="1:10" s="898" customFormat="1" ht="37.5">
      <c r="A81" s="927" t="s">
        <v>134</v>
      </c>
      <c r="B81" s="928" t="s">
        <v>807</v>
      </c>
      <c r="C81" s="890"/>
      <c r="D81" s="891"/>
      <c r="E81" s="892">
        <f>SUM(C81:D81)</f>
        <v>0</v>
      </c>
      <c r="F81" s="893"/>
      <c r="G81" s="894"/>
      <c r="H81" s="895"/>
      <c r="J81" s="897"/>
    </row>
    <row r="82" spans="1:10" s="904" customFormat="1" ht="18.75">
      <c r="A82" s="899" t="s">
        <v>164</v>
      </c>
      <c r="B82" s="900" t="s">
        <v>808</v>
      </c>
      <c r="C82" s="891"/>
      <c r="D82" s="891"/>
      <c r="E82" s="892"/>
      <c r="F82" s="887"/>
      <c r="G82" s="901"/>
      <c r="H82" s="895"/>
      <c r="J82" s="903"/>
    </row>
    <row r="83" spans="1:10" s="904" customFormat="1" ht="18.75">
      <c r="A83" s="905" t="s">
        <v>428</v>
      </c>
      <c r="B83" s="906" t="s">
        <v>558</v>
      </c>
      <c r="C83" s="890">
        <f>240607783-60151946-60151945</f>
        <v>120303892</v>
      </c>
      <c r="D83" s="890">
        <v>21230098</v>
      </c>
      <c r="E83" s="892">
        <f>SUM(C83:D83)</f>
        <v>141533990</v>
      </c>
      <c r="F83" s="887">
        <f>356736+5583849-3562350</f>
        <v>2378235</v>
      </c>
      <c r="G83" s="901">
        <f>1781175+1781175</f>
        <v>3562350</v>
      </c>
      <c r="H83" s="907"/>
      <c r="J83" s="903"/>
    </row>
    <row r="84" spans="1:10" s="917" customFormat="1" ht="18.75" hidden="1">
      <c r="A84" s="905"/>
      <c r="B84" s="906"/>
      <c r="C84" s="890"/>
      <c r="D84" s="890"/>
      <c r="E84" s="892"/>
      <c r="F84" s="887"/>
      <c r="G84" s="901"/>
      <c r="H84" s="895"/>
      <c r="J84" s="916"/>
    </row>
    <row r="85" spans="1:10" s="917" customFormat="1" ht="15" customHeight="1" hidden="1">
      <c r="A85" s="905"/>
      <c r="B85" s="906"/>
      <c r="C85" s="890"/>
      <c r="D85" s="890"/>
      <c r="E85" s="892"/>
      <c r="F85" s="887"/>
      <c r="G85" s="901"/>
      <c r="H85" s="918"/>
      <c r="J85" s="916"/>
    </row>
    <row r="86" spans="1:10" s="925" customFormat="1" ht="15.75" hidden="1">
      <c r="A86" s="919"/>
      <c r="B86" s="929"/>
      <c r="C86" s="890"/>
      <c r="D86" s="921"/>
      <c r="E86" s="930"/>
      <c r="F86" s="887"/>
      <c r="G86" s="901"/>
      <c r="H86" s="922"/>
      <c r="J86" s="924"/>
    </row>
    <row r="87" spans="1:10" s="898" customFormat="1" ht="35.25" customHeight="1" thickBot="1">
      <c r="A87" s="908" t="s">
        <v>429</v>
      </c>
      <c r="B87" s="909" t="s">
        <v>309</v>
      </c>
      <c r="C87" s="910">
        <f>SUM(C81:C86)</f>
        <v>120303892</v>
      </c>
      <c r="D87" s="910">
        <f>SUM(D81:D86)</f>
        <v>21230098</v>
      </c>
      <c r="E87" s="910">
        <f>SUM(E81:E86)</f>
        <v>141533990</v>
      </c>
      <c r="F87" s="910">
        <f>SUM(F81:F86)</f>
        <v>2378235</v>
      </c>
      <c r="G87" s="911">
        <f>SUM(G81:G86)</f>
        <v>3562350</v>
      </c>
      <c r="H87" s="884"/>
      <c r="J87" s="897"/>
    </row>
    <row r="88" spans="2:8" ht="15.75" customHeight="1">
      <c r="B88" s="1408"/>
      <c r="C88" s="1408"/>
      <c r="D88" s="1408"/>
      <c r="E88" s="1408"/>
      <c r="F88" s="1408"/>
      <c r="G88" s="1408"/>
      <c r="H88" s="1408"/>
    </row>
    <row r="89" spans="2:8" ht="31.5" customHeight="1">
      <c r="B89" s="1408"/>
      <c r="C89" s="1408"/>
      <c r="D89" s="1408"/>
      <c r="E89" s="1408"/>
      <c r="F89" s="1408"/>
      <c r="G89" s="1408"/>
      <c r="H89" s="1408"/>
    </row>
    <row r="90" spans="2:8" ht="31.5" customHeight="1">
      <c r="B90" s="1408"/>
      <c r="C90" s="1408"/>
      <c r="D90" s="1408"/>
      <c r="E90" s="1408"/>
      <c r="F90" s="1408"/>
      <c r="G90" s="1408"/>
      <c r="H90" s="1408"/>
    </row>
  </sheetData>
  <sheetProtection/>
  <mergeCells count="11">
    <mergeCell ref="H9:H11"/>
    <mergeCell ref="F10:G10"/>
    <mergeCell ref="B88:H88"/>
    <mergeCell ref="B89:H89"/>
    <mergeCell ref="B90:H90"/>
    <mergeCell ref="B1:G1"/>
    <mergeCell ref="B2:H2"/>
    <mergeCell ref="B3:H3"/>
    <mergeCell ref="B4:H4"/>
    <mergeCell ref="B5:H5"/>
    <mergeCell ref="F9:G9"/>
  </mergeCells>
  <printOptions horizontalCentered="1"/>
  <pageMargins left="0.3937007874015748" right="0.3937007874015748" top="0.5118110236220472" bottom="0.31496062992125984" header="0.3937007874015748" footer="0.1968503937007874"/>
  <pageSetup horizontalDpi="600" verticalDpi="600" orientation="landscape" paperSize="9" scale="59" r:id="rId1"/>
  <rowBreaks count="1" manualBreakCount="1">
    <brk id="5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37"/>
  <sheetViews>
    <sheetView showGridLines="0" view="pageBreakPreview" zoomScale="63" zoomScaleSheetLayoutView="63" zoomScalePageLayoutView="0" workbookViewId="0" topLeftCell="A1">
      <selection activeCell="B7" sqref="B7"/>
    </sheetView>
  </sheetViews>
  <sheetFormatPr defaultColWidth="29.375" defaultRowHeight="12.75"/>
  <cols>
    <col min="1" max="1" width="5.625" style="14" customWidth="1"/>
    <col min="2" max="2" width="121.50390625" style="1" customWidth="1"/>
    <col min="3" max="3" width="28.375" style="1" customWidth="1"/>
    <col min="4" max="4" width="22.50390625" style="1" hidden="1" customWidth="1"/>
    <col min="5" max="8" width="24.625" style="1" hidden="1" customWidth="1"/>
    <col min="9" max="9" width="31.625" style="1" customWidth="1"/>
    <col min="10" max="10" width="30.125" style="1" customWidth="1"/>
    <col min="11" max="15" width="24.625" style="6" hidden="1" customWidth="1"/>
    <col min="16" max="16" width="23.00390625" style="6" hidden="1" customWidth="1"/>
    <col min="17" max="22" width="24.00390625" style="6" hidden="1" customWidth="1"/>
    <col min="23" max="25" width="24.00390625" style="5" hidden="1" customWidth="1"/>
    <col min="26" max="26" width="16.875" style="1" hidden="1" customWidth="1"/>
    <col min="27" max="27" width="34.125" style="1" customWidth="1"/>
    <col min="28" max="28" width="31.625" style="7" customWidth="1"/>
    <col min="29" max="16384" width="29.375" style="7" customWidth="1"/>
  </cols>
  <sheetData>
    <row r="1" spans="1:27" s="498" customFormat="1" ht="24.75" customHeight="1">
      <c r="A1" s="214" t="s">
        <v>938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</row>
    <row r="2" spans="1:40" s="24" customFormat="1" ht="31.5" customHeight="1">
      <c r="A2" s="499"/>
      <c r="B2" s="499"/>
      <c r="C2" s="22"/>
      <c r="D2" s="22"/>
      <c r="E2" s="22"/>
      <c r="F2" s="22"/>
      <c r="G2" s="22"/>
      <c r="H2" s="22"/>
      <c r="I2" s="22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</row>
    <row r="3" spans="1:27" s="26" customFormat="1" ht="116.25" customHeight="1">
      <c r="A3" s="1350" t="s">
        <v>670</v>
      </c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  <c r="O3" s="1350"/>
      <c r="P3" s="1350"/>
      <c r="Q3" s="1350"/>
      <c r="R3" s="1350"/>
      <c r="S3" s="1350"/>
      <c r="T3" s="1350"/>
      <c r="U3" s="1350"/>
      <c r="V3" s="1350"/>
      <c r="W3" s="1350"/>
      <c r="X3" s="1350"/>
      <c r="Y3" s="1350"/>
      <c r="Z3" s="1350"/>
      <c r="AA3" s="1350"/>
    </row>
    <row r="4" spans="1:27" s="26" customFormat="1" ht="74.25" customHeight="1" thickBot="1">
      <c r="A4" s="19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s="21" customFormat="1" ht="19.5" customHeight="1" hidden="1" thickBot="1">
      <c r="A5" s="19"/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8" s="34" customFormat="1" ht="33.75" customHeight="1" thickBot="1">
      <c r="A6" s="28"/>
      <c r="B6" s="29" t="s">
        <v>138</v>
      </c>
      <c r="C6" s="29" t="s">
        <v>139</v>
      </c>
      <c r="D6" s="30"/>
      <c r="E6" s="31" t="s">
        <v>140</v>
      </c>
      <c r="F6" s="32" t="s">
        <v>140</v>
      </c>
      <c r="G6" s="354" t="s">
        <v>140</v>
      </c>
      <c r="H6" s="355" t="s">
        <v>140</v>
      </c>
      <c r="I6" s="30" t="s">
        <v>140</v>
      </c>
      <c r="J6" s="29" t="s">
        <v>141</v>
      </c>
      <c r="K6" s="33" t="s">
        <v>322</v>
      </c>
      <c r="L6" s="29" t="s">
        <v>323</v>
      </c>
      <c r="M6" s="33" t="s">
        <v>324</v>
      </c>
      <c r="N6" s="356" t="s">
        <v>325</v>
      </c>
      <c r="O6" s="32" t="s">
        <v>326</v>
      </c>
      <c r="P6" s="356" t="s">
        <v>327</v>
      </c>
      <c r="Q6" s="357" t="s">
        <v>328</v>
      </c>
      <c r="R6" s="357" t="s">
        <v>329</v>
      </c>
      <c r="S6" s="357" t="s">
        <v>330</v>
      </c>
      <c r="T6" s="358" t="s">
        <v>354</v>
      </c>
      <c r="U6" s="356" t="s">
        <v>355</v>
      </c>
      <c r="V6" s="357" t="s">
        <v>453</v>
      </c>
      <c r="W6" s="358" t="s">
        <v>454</v>
      </c>
      <c r="X6" s="32" t="s">
        <v>455</v>
      </c>
      <c r="Y6" s="33" t="s">
        <v>456</v>
      </c>
      <c r="Z6" s="29" t="s">
        <v>636</v>
      </c>
      <c r="AA6" s="32" t="s">
        <v>427</v>
      </c>
      <c r="AB6" s="28"/>
    </row>
    <row r="7" spans="1:27" s="511" customFormat="1" ht="91.5" customHeight="1" thickBot="1">
      <c r="A7" s="501"/>
      <c r="B7" s="502"/>
      <c r="C7" s="503" t="s">
        <v>467</v>
      </c>
      <c r="D7" s="503" t="s">
        <v>477</v>
      </c>
      <c r="E7" s="503" t="s">
        <v>478</v>
      </c>
      <c r="F7" s="504" t="s">
        <v>334</v>
      </c>
      <c r="G7" s="505" t="s">
        <v>479</v>
      </c>
      <c r="H7" s="503" t="s">
        <v>671</v>
      </c>
      <c r="I7" s="504" t="s">
        <v>672</v>
      </c>
      <c r="J7" s="506" t="s">
        <v>480</v>
      </c>
      <c r="K7" s="507" t="s">
        <v>403</v>
      </c>
      <c r="L7" s="508" t="s">
        <v>595</v>
      </c>
      <c r="M7" s="508" t="s">
        <v>596</v>
      </c>
      <c r="N7" s="508" t="s">
        <v>597</v>
      </c>
      <c r="O7" s="506" t="s">
        <v>598</v>
      </c>
      <c r="P7" s="507" t="s">
        <v>599</v>
      </c>
      <c r="Q7" s="508" t="s">
        <v>600</v>
      </c>
      <c r="R7" s="508" t="s">
        <v>601</v>
      </c>
      <c r="S7" s="508" t="s">
        <v>533</v>
      </c>
      <c r="T7" s="506" t="s">
        <v>534</v>
      </c>
      <c r="U7" s="507" t="s">
        <v>535</v>
      </c>
      <c r="V7" s="508" t="s">
        <v>536</v>
      </c>
      <c r="W7" s="506" t="s">
        <v>537</v>
      </c>
      <c r="X7" s="509" t="s">
        <v>335</v>
      </c>
      <c r="Y7" s="507" t="s">
        <v>336</v>
      </c>
      <c r="Z7" s="508" t="s">
        <v>337</v>
      </c>
      <c r="AA7" s="510" t="s">
        <v>678</v>
      </c>
    </row>
    <row r="8" spans="1:27" s="524" customFormat="1" ht="30" customHeight="1" hidden="1">
      <c r="A8" s="512"/>
      <c r="B8" s="56" t="s">
        <v>603</v>
      </c>
      <c r="C8" s="513"/>
      <c r="D8" s="513"/>
      <c r="E8" s="513"/>
      <c r="F8" s="514"/>
      <c r="G8" s="515"/>
      <c r="H8" s="516"/>
      <c r="I8" s="517"/>
      <c r="J8" s="517"/>
      <c r="K8" s="518"/>
      <c r="L8" s="519"/>
      <c r="M8" s="519"/>
      <c r="N8" s="519"/>
      <c r="O8" s="520"/>
      <c r="P8" s="518"/>
      <c r="Q8" s="519"/>
      <c r="R8" s="519"/>
      <c r="S8" s="519"/>
      <c r="T8" s="520"/>
      <c r="U8" s="518"/>
      <c r="V8" s="519"/>
      <c r="W8" s="520"/>
      <c r="X8" s="517"/>
      <c r="Y8" s="521"/>
      <c r="Z8" s="522"/>
      <c r="AA8" s="523"/>
    </row>
    <row r="9" spans="1:27" s="181" customFormat="1" ht="18.75" customHeight="1" hidden="1">
      <c r="A9" s="35"/>
      <c r="B9" s="179" t="s">
        <v>631</v>
      </c>
      <c r="C9" s="38"/>
      <c r="D9" s="38"/>
      <c r="E9" s="38"/>
      <c r="F9" s="49"/>
      <c r="G9" s="216"/>
      <c r="H9" s="359"/>
      <c r="I9" s="50"/>
      <c r="J9" s="50"/>
      <c r="K9" s="51"/>
      <c r="L9" s="52"/>
      <c r="M9" s="52"/>
      <c r="N9" s="52"/>
      <c r="O9" s="53"/>
      <c r="P9" s="51"/>
      <c r="Q9" s="52"/>
      <c r="R9" s="52"/>
      <c r="S9" s="52"/>
      <c r="T9" s="53"/>
      <c r="U9" s="51"/>
      <c r="V9" s="52"/>
      <c r="W9" s="53"/>
      <c r="X9" s="50"/>
      <c r="Y9" s="180"/>
      <c r="Z9" s="54"/>
      <c r="AA9" s="55">
        <f>SUM(C9:C9)</f>
        <v>0</v>
      </c>
    </row>
    <row r="10" spans="1:27" s="191" customFormat="1" ht="15.75" customHeight="1" hidden="1">
      <c r="A10" s="35"/>
      <c r="B10" s="182" t="s">
        <v>391</v>
      </c>
      <c r="C10" s="183"/>
      <c r="D10" s="183"/>
      <c r="E10" s="183"/>
      <c r="F10" s="184"/>
      <c r="G10" s="217"/>
      <c r="H10" s="360"/>
      <c r="I10" s="185"/>
      <c r="J10" s="185"/>
      <c r="K10" s="189"/>
      <c r="L10" s="187"/>
      <c r="M10" s="187"/>
      <c r="N10" s="187"/>
      <c r="O10" s="188"/>
      <c r="P10" s="189"/>
      <c r="Q10" s="187"/>
      <c r="R10" s="187"/>
      <c r="S10" s="187"/>
      <c r="T10" s="188"/>
      <c r="U10" s="189"/>
      <c r="V10" s="187"/>
      <c r="W10" s="188"/>
      <c r="X10" s="185"/>
      <c r="Y10" s="190"/>
      <c r="Z10" s="20"/>
      <c r="AA10" s="186">
        <f>SUM(C10:C10)</f>
        <v>0</v>
      </c>
    </row>
    <row r="11" spans="1:27" s="181" customFormat="1" ht="30.75" customHeight="1" hidden="1">
      <c r="A11" s="35"/>
      <c r="B11" s="179" t="s">
        <v>632</v>
      </c>
      <c r="C11" s="130"/>
      <c r="D11" s="130"/>
      <c r="E11" s="130"/>
      <c r="F11" s="131"/>
      <c r="G11" s="218"/>
      <c r="H11" s="361"/>
      <c r="I11" s="133"/>
      <c r="J11" s="133"/>
      <c r="K11" s="134"/>
      <c r="L11" s="132"/>
      <c r="M11" s="132"/>
      <c r="N11" s="132"/>
      <c r="O11" s="135"/>
      <c r="P11" s="134"/>
      <c r="Q11" s="132"/>
      <c r="R11" s="132"/>
      <c r="S11" s="132"/>
      <c r="T11" s="135"/>
      <c r="U11" s="134"/>
      <c r="V11" s="132"/>
      <c r="W11" s="135"/>
      <c r="X11" s="133"/>
      <c r="Y11" s="192"/>
      <c r="Z11" s="136"/>
      <c r="AA11" s="155">
        <f>SUM(C11:C11)</f>
        <v>0</v>
      </c>
    </row>
    <row r="12" spans="1:27" s="191" customFormat="1" ht="15.75" customHeight="1" hidden="1">
      <c r="A12" s="35"/>
      <c r="B12" s="182" t="s">
        <v>594</v>
      </c>
      <c r="C12" s="183"/>
      <c r="D12" s="183"/>
      <c r="E12" s="183"/>
      <c r="F12" s="184"/>
      <c r="G12" s="217"/>
      <c r="H12" s="360"/>
      <c r="I12" s="185"/>
      <c r="J12" s="185"/>
      <c r="K12" s="189"/>
      <c r="L12" s="187"/>
      <c r="M12" s="187"/>
      <c r="N12" s="187"/>
      <c r="O12" s="188"/>
      <c r="P12" s="189"/>
      <c r="Q12" s="187"/>
      <c r="R12" s="187"/>
      <c r="S12" s="187"/>
      <c r="T12" s="188"/>
      <c r="U12" s="189"/>
      <c r="V12" s="187"/>
      <c r="W12" s="188"/>
      <c r="X12" s="185"/>
      <c r="Y12" s="190"/>
      <c r="Z12" s="20"/>
      <c r="AA12" s="186">
        <f>SUM(C12:C12)</f>
        <v>0</v>
      </c>
    </row>
    <row r="13" spans="1:27" s="110" customFormat="1" ht="32.25" customHeight="1">
      <c r="A13" s="35" t="s">
        <v>464</v>
      </c>
      <c r="B13" s="108" t="s">
        <v>495</v>
      </c>
      <c r="C13" s="89">
        <f>SUM(C52,C68)+C84</f>
        <v>1119103.738</v>
      </c>
      <c r="D13" s="89"/>
      <c r="E13" s="89"/>
      <c r="F13" s="90"/>
      <c r="G13" s="219"/>
      <c r="H13" s="362"/>
      <c r="I13" s="90"/>
      <c r="J13" s="92"/>
      <c r="K13" s="93"/>
      <c r="L13" s="91"/>
      <c r="M13" s="91"/>
      <c r="N13" s="91"/>
      <c r="O13" s="92"/>
      <c r="P13" s="93"/>
      <c r="Q13" s="91"/>
      <c r="R13" s="91"/>
      <c r="S13" s="91"/>
      <c r="T13" s="92"/>
      <c r="U13" s="93"/>
      <c r="V13" s="91"/>
      <c r="W13" s="92"/>
      <c r="X13" s="109"/>
      <c r="Y13" s="93"/>
      <c r="Z13" s="94"/>
      <c r="AA13" s="95"/>
    </row>
    <row r="14" spans="1:28" s="110" customFormat="1" ht="24" customHeight="1">
      <c r="A14" s="35" t="s">
        <v>562</v>
      </c>
      <c r="B14" s="88" t="s">
        <v>544</v>
      </c>
      <c r="C14" s="89"/>
      <c r="D14" s="89">
        <f>SUM(D53+D69)</f>
        <v>166832</v>
      </c>
      <c r="E14" s="89"/>
      <c r="F14" s="90">
        <f aca="true" t="shared" si="0" ref="F14:Z15">SUM(F53+F69)+F85</f>
        <v>153534</v>
      </c>
      <c r="G14" s="221">
        <f t="shared" si="0"/>
        <v>127058</v>
      </c>
      <c r="H14" s="362">
        <f t="shared" si="0"/>
        <v>220111</v>
      </c>
      <c r="I14" s="90">
        <f t="shared" si="0"/>
        <v>620360.7999999999</v>
      </c>
      <c r="J14" s="109">
        <f t="shared" si="0"/>
        <v>0</v>
      </c>
      <c r="K14" s="93">
        <f t="shared" si="0"/>
        <v>0</v>
      </c>
      <c r="L14" s="91">
        <f t="shared" si="0"/>
        <v>0</v>
      </c>
      <c r="M14" s="91">
        <f t="shared" si="0"/>
        <v>0</v>
      </c>
      <c r="N14" s="91">
        <f t="shared" si="0"/>
        <v>0</v>
      </c>
      <c r="O14" s="92">
        <f t="shared" si="0"/>
        <v>0</v>
      </c>
      <c r="P14" s="93">
        <f t="shared" si="0"/>
        <v>0</v>
      </c>
      <c r="Q14" s="91">
        <f t="shared" si="0"/>
        <v>0</v>
      </c>
      <c r="R14" s="91">
        <f t="shared" si="0"/>
        <v>0</v>
      </c>
      <c r="S14" s="91">
        <f t="shared" si="0"/>
        <v>0</v>
      </c>
      <c r="T14" s="92">
        <f t="shared" si="0"/>
        <v>0</v>
      </c>
      <c r="U14" s="93">
        <f t="shared" si="0"/>
        <v>0</v>
      </c>
      <c r="V14" s="91">
        <f t="shared" si="0"/>
        <v>0</v>
      </c>
      <c r="W14" s="92">
        <f t="shared" si="0"/>
        <v>0</v>
      </c>
      <c r="X14" s="109">
        <f t="shared" si="0"/>
        <v>0</v>
      </c>
      <c r="Y14" s="93">
        <f t="shared" si="0"/>
        <v>0</v>
      </c>
      <c r="Z14" s="90">
        <f t="shared" si="0"/>
        <v>0</v>
      </c>
      <c r="AA14" s="95">
        <f>SUM(J14)</f>
        <v>0</v>
      </c>
      <c r="AB14" s="110">
        <f>SUM(AA22,AA26,AA34,AA37,AA44,AA49,AA59,AA64)+AA75+AA80</f>
        <v>0</v>
      </c>
    </row>
    <row r="15" spans="1:28" s="110" customFormat="1" ht="22.5">
      <c r="A15" s="35" t="s">
        <v>563</v>
      </c>
      <c r="B15" s="88" t="s">
        <v>475</v>
      </c>
      <c r="C15" s="89"/>
      <c r="D15" s="89">
        <f>SUM(D54+D70)</f>
        <v>15045</v>
      </c>
      <c r="E15" s="89"/>
      <c r="F15" s="90">
        <f t="shared" si="0"/>
        <v>10667</v>
      </c>
      <c r="G15" s="221">
        <f t="shared" si="0"/>
        <v>26742</v>
      </c>
      <c r="H15" s="362">
        <f t="shared" si="0"/>
        <v>6740</v>
      </c>
      <c r="I15" s="90">
        <f t="shared" si="0"/>
        <v>4696.107</v>
      </c>
      <c r="J15" s="109">
        <f t="shared" si="0"/>
        <v>0</v>
      </c>
      <c r="K15" s="93">
        <f t="shared" si="0"/>
        <v>0</v>
      </c>
      <c r="L15" s="91">
        <f t="shared" si="0"/>
        <v>0</v>
      </c>
      <c r="M15" s="91">
        <f t="shared" si="0"/>
        <v>0</v>
      </c>
      <c r="N15" s="91">
        <f t="shared" si="0"/>
        <v>0</v>
      </c>
      <c r="O15" s="92">
        <f t="shared" si="0"/>
        <v>0</v>
      </c>
      <c r="P15" s="93">
        <f t="shared" si="0"/>
        <v>0</v>
      </c>
      <c r="Q15" s="91">
        <f t="shared" si="0"/>
        <v>0</v>
      </c>
      <c r="R15" s="91">
        <f t="shared" si="0"/>
        <v>0</v>
      </c>
      <c r="S15" s="91">
        <f t="shared" si="0"/>
        <v>0</v>
      </c>
      <c r="T15" s="92">
        <f t="shared" si="0"/>
        <v>0</v>
      </c>
      <c r="U15" s="93">
        <f t="shared" si="0"/>
        <v>0</v>
      </c>
      <c r="V15" s="91">
        <f t="shared" si="0"/>
        <v>0</v>
      </c>
      <c r="W15" s="92">
        <f t="shared" si="0"/>
        <v>0</v>
      </c>
      <c r="X15" s="109">
        <f t="shared" si="0"/>
        <v>0</v>
      </c>
      <c r="Y15" s="93">
        <f t="shared" si="0"/>
        <v>0</v>
      </c>
      <c r="Z15" s="90">
        <f t="shared" si="0"/>
        <v>0</v>
      </c>
      <c r="AA15" s="95">
        <f>SUM(J15)</f>
        <v>0</v>
      </c>
      <c r="AB15" s="110">
        <f>SUM(AB54,AB70)+AA86</f>
        <v>0</v>
      </c>
    </row>
    <row r="16" spans="1:27" s="87" customFormat="1" ht="15.75">
      <c r="A16" s="35"/>
      <c r="B16" s="193"/>
      <c r="C16" s="69"/>
      <c r="D16" s="69"/>
      <c r="E16" s="69"/>
      <c r="F16" s="61"/>
      <c r="G16" s="222"/>
      <c r="H16" s="363"/>
      <c r="I16" s="61"/>
      <c r="J16" s="65"/>
      <c r="K16" s="63"/>
      <c r="L16" s="64"/>
      <c r="M16" s="64"/>
      <c r="N16" s="64"/>
      <c r="O16" s="65"/>
      <c r="P16" s="63"/>
      <c r="Q16" s="64"/>
      <c r="R16" s="64"/>
      <c r="S16" s="64"/>
      <c r="T16" s="65"/>
      <c r="U16" s="63"/>
      <c r="V16" s="64"/>
      <c r="W16" s="65"/>
      <c r="X16" s="62"/>
      <c r="Y16" s="63"/>
      <c r="Z16" s="66"/>
      <c r="AA16" s="67"/>
    </row>
    <row r="17" spans="1:27" s="87" customFormat="1" ht="21.75" customHeight="1">
      <c r="A17" s="35" t="s">
        <v>564</v>
      </c>
      <c r="B17" s="111" t="s">
        <v>473</v>
      </c>
      <c r="C17" s="69"/>
      <c r="D17" s="69"/>
      <c r="E17" s="69"/>
      <c r="F17" s="61"/>
      <c r="G17" s="222"/>
      <c r="H17" s="363"/>
      <c r="I17" s="61"/>
      <c r="J17" s="65"/>
      <c r="K17" s="63"/>
      <c r="L17" s="64"/>
      <c r="M17" s="64"/>
      <c r="N17" s="64"/>
      <c r="O17" s="65"/>
      <c r="P17" s="63"/>
      <c r="Q17" s="64"/>
      <c r="R17" s="64"/>
      <c r="S17" s="64"/>
      <c r="T17" s="65"/>
      <c r="U17" s="63"/>
      <c r="V17" s="64"/>
      <c r="W17" s="65"/>
      <c r="X17" s="62"/>
      <c r="Y17" s="63"/>
      <c r="Z17" s="66"/>
      <c r="AA17" s="67"/>
    </row>
    <row r="18" spans="1:27" s="87" customFormat="1" ht="24.75" customHeight="1" hidden="1">
      <c r="A18" s="35" t="s">
        <v>565</v>
      </c>
      <c r="B18" s="77" t="s">
        <v>248</v>
      </c>
      <c r="C18" s="69"/>
      <c r="D18" s="69"/>
      <c r="E18" s="69"/>
      <c r="F18" s="61"/>
      <c r="G18" s="222"/>
      <c r="H18" s="363"/>
      <c r="I18" s="61"/>
      <c r="J18" s="65"/>
      <c r="K18" s="63"/>
      <c r="L18" s="64"/>
      <c r="M18" s="64"/>
      <c r="N18" s="64"/>
      <c r="O18" s="65"/>
      <c r="P18" s="63"/>
      <c r="Q18" s="64"/>
      <c r="R18" s="64"/>
      <c r="S18" s="64"/>
      <c r="T18" s="65"/>
      <c r="U18" s="63"/>
      <c r="V18" s="64"/>
      <c r="W18" s="65"/>
      <c r="X18" s="62"/>
      <c r="Y18" s="63"/>
      <c r="Z18" s="66"/>
      <c r="AA18" s="67"/>
    </row>
    <row r="19" spans="1:28" s="87" customFormat="1" ht="21.75" customHeight="1" hidden="1">
      <c r="A19" s="35"/>
      <c r="B19" s="57" t="s">
        <v>468</v>
      </c>
      <c r="C19" s="60"/>
      <c r="D19" s="69"/>
      <c r="E19" s="69"/>
      <c r="F19" s="61"/>
      <c r="G19" s="222"/>
      <c r="H19" s="363"/>
      <c r="I19" s="61"/>
      <c r="J19" s="65"/>
      <c r="K19" s="63"/>
      <c r="L19" s="64"/>
      <c r="M19" s="64"/>
      <c r="N19" s="64"/>
      <c r="O19" s="65"/>
      <c r="P19" s="63"/>
      <c r="Q19" s="64"/>
      <c r="R19" s="64"/>
      <c r="S19" s="64"/>
      <c r="T19" s="65"/>
      <c r="U19" s="63"/>
      <c r="V19" s="64"/>
      <c r="W19" s="65"/>
      <c r="X19" s="62"/>
      <c r="Y19" s="63"/>
      <c r="Z19" s="66"/>
      <c r="AA19" s="67"/>
      <c r="AB19" s="87">
        <f>SUM(AA19:AA27,AA31:AA38,AA43:AA45,AA48:AA50,AA58:AA67)</f>
        <v>0</v>
      </c>
    </row>
    <row r="20" spans="1:27" s="87" customFormat="1" ht="15.75" customHeight="1" hidden="1">
      <c r="A20" s="35"/>
      <c r="B20" s="59" t="s">
        <v>633</v>
      </c>
      <c r="C20" s="60"/>
      <c r="D20" s="69">
        <v>45000</v>
      </c>
      <c r="E20" s="69"/>
      <c r="F20" s="61"/>
      <c r="G20" s="222"/>
      <c r="H20" s="363"/>
      <c r="I20" s="61"/>
      <c r="J20" s="65"/>
      <c r="K20" s="63"/>
      <c r="L20" s="64"/>
      <c r="M20" s="64"/>
      <c r="N20" s="64"/>
      <c r="O20" s="65"/>
      <c r="P20" s="63"/>
      <c r="Q20" s="64"/>
      <c r="R20" s="64"/>
      <c r="S20" s="64"/>
      <c r="T20" s="65"/>
      <c r="U20" s="63"/>
      <c r="V20" s="64"/>
      <c r="W20" s="65"/>
      <c r="X20" s="62"/>
      <c r="Y20" s="63"/>
      <c r="Z20" s="66"/>
      <c r="AA20" s="58">
        <f>SUM(F20:Z20)</f>
        <v>0</v>
      </c>
    </row>
    <row r="21" spans="1:27" s="87" customFormat="1" ht="15.75" customHeight="1" hidden="1">
      <c r="A21" s="35"/>
      <c r="B21" s="59" t="s">
        <v>331</v>
      </c>
      <c r="C21" s="60"/>
      <c r="D21" s="69">
        <v>1129</v>
      </c>
      <c r="E21" s="69"/>
      <c r="F21" s="61"/>
      <c r="G21" s="222"/>
      <c r="H21" s="363"/>
      <c r="I21" s="61"/>
      <c r="J21" s="65"/>
      <c r="K21" s="63"/>
      <c r="L21" s="64"/>
      <c r="M21" s="64"/>
      <c r="N21" s="64"/>
      <c r="O21" s="65"/>
      <c r="P21" s="63"/>
      <c r="Q21" s="64"/>
      <c r="R21" s="64"/>
      <c r="S21" s="64"/>
      <c r="T21" s="65"/>
      <c r="U21" s="63"/>
      <c r="V21" s="64"/>
      <c r="W21" s="65"/>
      <c r="X21" s="62"/>
      <c r="Y21" s="63"/>
      <c r="Z21" s="66"/>
      <c r="AA21" s="58">
        <f>SUM(F21:Z21)</f>
        <v>0</v>
      </c>
    </row>
    <row r="22" spans="1:27" s="87" customFormat="1" ht="21.75" customHeight="1" hidden="1">
      <c r="A22" s="35" t="s">
        <v>566</v>
      </c>
      <c r="B22" s="57" t="s">
        <v>452</v>
      </c>
      <c r="C22" s="60">
        <v>151045</v>
      </c>
      <c r="D22" s="69"/>
      <c r="E22" s="69"/>
      <c r="F22" s="61"/>
      <c r="G22" s="222"/>
      <c r="H22" s="363"/>
      <c r="I22" s="61"/>
      <c r="J22" s="65"/>
      <c r="K22" s="63"/>
      <c r="L22" s="64"/>
      <c r="M22" s="64"/>
      <c r="N22" s="64"/>
      <c r="O22" s="65"/>
      <c r="P22" s="63"/>
      <c r="Q22" s="64"/>
      <c r="R22" s="64"/>
      <c r="S22" s="64"/>
      <c r="T22" s="65"/>
      <c r="U22" s="63"/>
      <c r="V22" s="64"/>
      <c r="W22" s="65"/>
      <c r="X22" s="62"/>
      <c r="Y22" s="63"/>
      <c r="Z22" s="66"/>
      <c r="AA22" s="58"/>
    </row>
    <row r="23" spans="1:27" s="87" customFormat="1" ht="15.75" customHeight="1" hidden="1">
      <c r="A23" s="35" t="s">
        <v>567</v>
      </c>
      <c r="B23" s="59" t="s">
        <v>633</v>
      </c>
      <c r="C23" s="60"/>
      <c r="D23" s="69">
        <v>52500</v>
      </c>
      <c r="E23" s="69"/>
      <c r="F23" s="61"/>
      <c r="G23" s="222"/>
      <c r="H23" s="363"/>
      <c r="I23" s="61"/>
      <c r="J23" s="65"/>
      <c r="K23" s="63"/>
      <c r="L23" s="64"/>
      <c r="M23" s="64"/>
      <c r="N23" s="64"/>
      <c r="O23" s="65"/>
      <c r="P23" s="63"/>
      <c r="Q23" s="64"/>
      <c r="R23" s="64"/>
      <c r="S23" s="64"/>
      <c r="T23" s="65"/>
      <c r="U23" s="63"/>
      <c r="V23" s="64"/>
      <c r="W23" s="65"/>
      <c r="X23" s="62"/>
      <c r="Y23" s="63"/>
      <c r="Z23" s="66"/>
      <c r="AA23" s="58">
        <f>SUM(F23:Z23)</f>
        <v>0</v>
      </c>
    </row>
    <row r="24" spans="1:27" s="87" customFormat="1" ht="15.75" customHeight="1" hidden="1">
      <c r="A24" s="35"/>
      <c r="B24" s="59" t="s">
        <v>338</v>
      </c>
      <c r="C24" s="60"/>
      <c r="D24" s="69">
        <v>2725</v>
      </c>
      <c r="E24" s="69"/>
      <c r="F24" s="61"/>
      <c r="G24" s="222"/>
      <c r="H24" s="363"/>
      <c r="I24" s="61"/>
      <c r="J24" s="65"/>
      <c r="K24" s="63"/>
      <c r="L24" s="64"/>
      <c r="M24" s="64"/>
      <c r="N24" s="64"/>
      <c r="O24" s="65"/>
      <c r="P24" s="63"/>
      <c r="Q24" s="64"/>
      <c r="R24" s="64"/>
      <c r="S24" s="64"/>
      <c r="T24" s="65"/>
      <c r="U24" s="63"/>
      <c r="V24" s="64"/>
      <c r="W24" s="65"/>
      <c r="X24" s="62"/>
      <c r="Y24" s="63"/>
      <c r="Z24" s="66"/>
      <c r="AA24" s="58">
        <f>SUM(F24:Z24)</f>
        <v>0</v>
      </c>
    </row>
    <row r="25" spans="1:27" s="194" customFormat="1" ht="21.75" customHeight="1" hidden="1">
      <c r="A25" s="35" t="s">
        <v>566</v>
      </c>
      <c r="B25" s="203" t="s">
        <v>234</v>
      </c>
      <c r="C25" s="60">
        <v>100000</v>
      </c>
      <c r="D25" s="69"/>
      <c r="E25" s="69"/>
      <c r="F25" s="61"/>
      <c r="G25" s="222"/>
      <c r="H25" s="363"/>
      <c r="I25" s="61"/>
      <c r="J25" s="65"/>
      <c r="K25" s="63"/>
      <c r="L25" s="64"/>
      <c r="M25" s="64"/>
      <c r="N25" s="64"/>
      <c r="O25" s="65"/>
      <c r="P25" s="63"/>
      <c r="Q25" s="64"/>
      <c r="R25" s="64"/>
      <c r="S25" s="64"/>
      <c r="T25" s="65"/>
      <c r="U25" s="63"/>
      <c r="V25" s="64"/>
      <c r="W25" s="65"/>
      <c r="X25" s="62"/>
      <c r="Y25" s="63"/>
      <c r="Z25" s="66"/>
      <c r="AA25" s="58"/>
    </row>
    <row r="26" spans="1:27" s="194" customFormat="1" ht="21.75" customHeight="1" hidden="1">
      <c r="A26" s="35" t="s">
        <v>567</v>
      </c>
      <c r="B26" s="59" t="s">
        <v>633</v>
      </c>
      <c r="C26" s="195"/>
      <c r="D26" s="69">
        <v>50286</v>
      </c>
      <c r="E26" s="69"/>
      <c r="F26" s="61">
        <v>50286</v>
      </c>
      <c r="G26" s="222">
        <v>11026</v>
      </c>
      <c r="H26" s="363">
        <v>4762</v>
      </c>
      <c r="I26" s="61"/>
      <c r="J26" s="65"/>
      <c r="K26" s="63"/>
      <c r="L26" s="64"/>
      <c r="M26" s="64"/>
      <c r="N26" s="64"/>
      <c r="O26" s="65"/>
      <c r="P26" s="63"/>
      <c r="Q26" s="64"/>
      <c r="R26" s="64"/>
      <c r="S26" s="64"/>
      <c r="T26" s="65"/>
      <c r="U26" s="63"/>
      <c r="V26" s="64"/>
      <c r="W26" s="65"/>
      <c r="X26" s="62"/>
      <c r="Y26" s="63"/>
      <c r="Z26" s="66"/>
      <c r="AA26" s="58">
        <f>SUM(J26)</f>
        <v>0</v>
      </c>
    </row>
    <row r="27" spans="1:27" s="194" customFormat="1" ht="15.75" hidden="1">
      <c r="A27" s="35"/>
      <c r="B27" s="59" t="s">
        <v>282</v>
      </c>
      <c r="C27" s="195"/>
      <c r="D27" s="69">
        <v>7771</v>
      </c>
      <c r="E27" s="69"/>
      <c r="F27" s="61">
        <v>1019</v>
      </c>
      <c r="G27" s="222">
        <v>142</v>
      </c>
      <c r="H27" s="363">
        <v>21</v>
      </c>
      <c r="I27" s="61"/>
      <c r="J27" s="65"/>
      <c r="K27" s="63"/>
      <c r="L27" s="64"/>
      <c r="M27" s="64"/>
      <c r="N27" s="64"/>
      <c r="O27" s="65"/>
      <c r="P27" s="63"/>
      <c r="Q27" s="64"/>
      <c r="R27" s="64"/>
      <c r="S27" s="64"/>
      <c r="T27" s="65"/>
      <c r="U27" s="63"/>
      <c r="V27" s="64"/>
      <c r="W27" s="65"/>
      <c r="X27" s="62"/>
      <c r="Y27" s="63"/>
      <c r="Z27" s="66"/>
      <c r="AA27" s="58">
        <f>SUM(J27)</f>
        <v>0</v>
      </c>
    </row>
    <row r="28" spans="1:27" s="194" customFormat="1" ht="15.75" hidden="1">
      <c r="A28" s="35"/>
      <c r="B28" s="196"/>
      <c r="C28" s="195"/>
      <c r="D28" s="69"/>
      <c r="E28" s="69"/>
      <c r="F28" s="61"/>
      <c r="G28" s="222"/>
      <c r="H28" s="363"/>
      <c r="I28" s="61"/>
      <c r="J28" s="65"/>
      <c r="K28" s="63"/>
      <c r="L28" s="64"/>
      <c r="M28" s="64"/>
      <c r="N28" s="64"/>
      <c r="O28" s="65"/>
      <c r="P28" s="63"/>
      <c r="Q28" s="64"/>
      <c r="R28" s="64"/>
      <c r="S28" s="64"/>
      <c r="T28" s="65"/>
      <c r="U28" s="63"/>
      <c r="V28" s="64"/>
      <c r="W28" s="65"/>
      <c r="X28" s="62"/>
      <c r="Y28" s="63"/>
      <c r="Z28" s="66"/>
      <c r="AA28" s="58"/>
    </row>
    <row r="29" spans="1:27" s="47" customFormat="1" ht="21.75" customHeight="1" hidden="1">
      <c r="A29" s="35" t="s">
        <v>590</v>
      </c>
      <c r="B29" s="70" t="s">
        <v>494</v>
      </c>
      <c r="C29" s="38"/>
      <c r="D29" s="38">
        <f>SUM(D20,D23,D26)</f>
        <v>147786</v>
      </c>
      <c r="E29" s="38"/>
      <c r="F29" s="49">
        <f>SUM(F20,F23,F26)</f>
        <v>50286</v>
      </c>
      <c r="G29" s="216">
        <f>SUM(G20,G23,G26)</f>
        <v>11026</v>
      </c>
      <c r="H29" s="359">
        <f>SUM(H26)</f>
        <v>4762</v>
      </c>
      <c r="I29" s="49"/>
      <c r="J29" s="53"/>
      <c r="K29" s="51"/>
      <c r="L29" s="52"/>
      <c r="M29" s="52"/>
      <c r="N29" s="52"/>
      <c r="O29" s="53"/>
      <c r="P29" s="51"/>
      <c r="Q29" s="52"/>
      <c r="R29" s="52"/>
      <c r="S29" s="52"/>
      <c r="T29" s="53"/>
      <c r="U29" s="51"/>
      <c r="V29" s="52"/>
      <c r="W29" s="53"/>
      <c r="X29" s="50"/>
      <c r="Y29" s="51"/>
      <c r="Z29" s="54"/>
      <c r="AA29" s="55">
        <f>SUM(J29)</f>
        <v>0</v>
      </c>
    </row>
    <row r="30" spans="1:27" s="47" customFormat="1" ht="18.75" hidden="1">
      <c r="A30" s="35" t="s">
        <v>351</v>
      </c>
      <c r="B30" s="70" t="s">
        <v>543</v>
      </c>
      <c r="C30" s="38"/>
      <c r="D30" s="38">
        <f>SUM(D21,D24,D27)</f>
        <v>11625</v>
      </c>
      <c r="E30" s="38"/>
      <c r="F30" s="49">
        <f>SUM(F21,F24,F27)</f>
        <v>1019</v>
      </c>
      <c r="G30" s="216">
        <f>SUM(G21,G24,G27)</f>
        <v>142</v>
      </c>
      <c r="H30" s="359">
        <f>SUM(H27)</f>
        <v>21</v>
      </c>
      <c r="I30" s="49"/>
      <c r="J30" s="53"/>
      <c r="K30" s="51"/>
      <c r="L30" s="52"/>
      <c r="M30" s="52"/>
      <c r="N30" s="52"/>
      <c r="O30" s="53"/>
      <c r="P30" s="51"/>
      <c r="Q30" s="52"/>
      <c r="R30" s="52"/>
      <c r="S30" s="52"/>
      <c r="T30" s="53"/>
      <c r="U30" s="51"/>
      <c r="V30" s="52"/>
      <c r="W30" s="53"/>
      <c r="X30" s="50"/>
      <c r="Y30" s="51"/>
      <c r="Z30" s="54"/>
      <c r="AA30" s="55">
        <f>SUM(J30)</f>
        <v>0</v>
      </c>
    </row>
    <row r="31" spans="1:27" s="47" customFormat="1" ht="18.75" customHeight="1">
      <c r="A31" s="35"/>
      <c r="B31" s="70"/>
      <c r="C31" s="38"/>
      <c r="D31" s="38"/>
      <c r="E31" s="38"/>
      <c r="F31" s="49"/>
      <c r="G31" s="216"/>
      <c r="H31" s="359"/>
      <c r="I31" s="49"/>
      <c r="J31" s="53"/>
      <c r="K31" s="51"/>
      <c r="L31" s="52"/>
      <c r="M31" s="52"/>
      <c r="N31" s="52"/>
      <c r="O31" s="53"/>
      <c r="P31" s="51"/>
      <c r="Q31" s="52"/>
      <c r="R31" s="52"/>
      <c r="S31" s="52"/>
      <c r="T31" s="53"/>
      <c r="U31" s="51"/>
      <c r="V31" s="52"/>
      <c r="W31" s="53"/>
      <c r="X31" s="50"/>
      <c r="Y31" s="51"/>
      <c r="Z31" s="54"/>
      <c r="AA31" s="55"/>
    </row>
    <row r="32" spans="1:27" s="85" customFormat="1" ht="19.5">
      <c r="A32" s="35" t="s">
        <v>565</v>
      </c>
      <c r="B32" s="77" t="s">
        <v>679</v>
      </c>
      <c r="C32" s="78"/>
      <c r="D32" s="78"/>
      <c r="E32" s="78"/>
      <c r="F32" s="197"/>
      <c r="G32" s="223"/>
      <c r="H32" s="364"/>
      <c r="I32" s="197"/>
      <c r="J32" s="201"/>
      <c r="K32" s="200"/>
      <c r="L32" s="198"/>
      <c r="M32" s="198"/>
      <c r="N32" s="198"/>
      <c r="O32" s="201"/>
      <c r="P32" s="200"/>
      <c r="Q32" s="198"/>
      <c r="R32" s="198"/>
      <c r="S32" s="198"/>
      <c r="T32" s="201"/>
      <c r="U32" s="200"/>
      <c r="V32" s="198"/>
      <c r="W32" s="201"/>
      <c r="X32" s="199"/>
      <c r="Y32" s="200"/>
      <c r="Z32" s="202"/>
      <c r="AA32" s="67"/>
    </row>
    <row r="33" spans="1:27" s="87" customFormat="1" ht="15.75">
      <c r="A33" s="35" t="s">
        <v>566</v>
      </c>
      <c r="B33" s="203" t="s">
        <v>249</v>
      </c>
      <c r="C33" s="60">
        <v>550163.1</v>
      </c>
      <c r="D33" s="69"/>
      <c r="E33" s="69"/>
      <c r="F33" s="61"/>
      <c r="G33" s="222"/>
      <c r="H33" s="363"/>
      <c r="I33" s="61"/>
      <c r="J33" s="65"/>
      <c r="K33" s="63"/>
      <c r="L33" s="64"/>
      <c r="M33" s="64"/>
      <c r="N33" s="64"/>
      <c r="O33" s="65"/>
      <c r="P33" s="63"/>
      <c r="Q33" s="64"/>
      <c r="R33" s="64"/>
      <c r="S33" s="64"/>
      <c r="T33" s="65"/>
      <c r="U33" s="63"/>
      <c r="V33" s="64"/>
      <c r="W33" s="65"/>
      <c r="X33" s="62"/>
      <c r="Y33" s="63"/>
      <c r="Z33" s="66"/>
      <c r="AA33" s="67"/>
    </row>
    <row r="34" spans="1:27" s="87" customFormat="1" ht="15.75">
      <c r="A34" s="35" t="s">
        <v>567</v>
      </c>
      <c r="B34" s="59" t="s">
        <v>633</v>
      </c>
      <c r="C34" s="60"/>
      <c r="D34" s="69">
        <v>19048</v>
      </c>
      <c r="E34" s="69"/>
      <c r="F34" s="61">
        <v>19048</v>
      </c>
      <c r="G34" s="222">
        <v>19048</v>
      </c>
      <c r="H34" s="363"/>
      <c r="I34" s="525">
        <v>550163.1</v>
      </c>
      <c r="J34" s="65"/>
      <c r="K34" s="63"/>
      <c r="L34" s="64"/>
      <c r="M34" s="64"/>
      <c r="N34" s="64"/>
      <c r="O34" s="65"/>
      <c r="P34" s="63"/>
      <c r="Q34" s="64"/>
      <c r="R34" s="64"/>
      <c r="S34" s="64"/>
      <c r="T34" s="65"/>
      <c r="U34" s="63"/>
      <c r="V34" s="64"/>
      <c r="W34" s="65"/>
      <c r="X34" s="62"/>
      <c r="Y34" s="63"/>
      <c r="Z34" s="66"/>
      <c r="AA34" s="58">
        <f>SUM(J34)</f>
        <v>0</v>
      </c>
    </row>
    <row r="35" spans="1:27" s="87" customFormat="1" ht="15.75">
      <c r="A35" s="35" t="s">
        <v>590</v>
      </c>
      <c r="B35" s="59" t="s">
        <v>251</v>
      </c>
      <c r="C35" s="60"/>
      <c r="D35" s="69">
        <v>3420</v>
      </c>
      <c r="E35" s="69"/>
      <c r="F35" s="61">
        <v>1007</v>
      </c>
      <c r="G35" s="222">
        <v>499</v>
      </c>
      <c r="H35" s="363"/>
      <c r="I35" s="525">
        <v>4499.264</v>
      </c>
      <c r="J35" s="65"/>
      <c r="K35" s="63"/>
      <c r="L35" s="64"/>
      <c r="M35" s="64"/>
      <c r="N35" s="64"/>
      <c r="O35" s="65"/>
      <c r="P35" s="63"/>
      <c r="Q35" s="64"/>
      <c r="R35" s="64"/>
      <c r="S35" s="64"/>
      <c r="T35" s="65"/>
      <c r="U35" s="63"/>
      <c r="V35" s="64"/>
      <c r="W35" s="65"/>
      <c r="X35" s="62"/>
      <c r="Y35" s="63"/>
      <c r="Z35" s="66"/>
      <c r="AA35" s="58">
        <f>SUM(J35)</f>
        <v>0</v>
      </c>
    </row>
    <row r="36" spans="1:27" s="87" customFormat="1" ht="15.75">
      <c r="A36" s="35"/>
      <c r="B36" s="57"/>
      <c r="C36" s="60"/>
      <c r="D36" s="69"/>
      <c r="E36" s="69"/>
      <c r="F36" s="61"/>
      <c r="G36" s="222"/>
      <c r="H36" s="363"/>
      <c r="I36" s="61"/>
      <c r="J36" s="65"/>
      <c r="K36" s="63"/>
      <c r="L36" s="64"/>
      <c r="M36" s="64"/>
      <c r="N36" s="64"/>
      <c r="O36" s="65"/>
      <c r="P36" s="63"/>
      <c r="Q36" s="64"/>
      <c r="R36" s="64"/>
      <c r="S36" s="64"/>
      <c r="T36" s="65"/>
      <c r="U36" s="63"/>
      <c r="V36" s="64"/>
      <c r="W36" s="65"/>
      <c r="X36" s="62"/>
      <c r="Y36" s="63"/>
      <c r="Z36" s="66"/>
      <c r="AA36" s="58"/>
    </row>
    <row r="37" spans="1:27" s="87" customFormat="1" ht="0.75" customHeight="1">
      <c r="A37" s="35"/>
      <c r="B37" s="59"/>
      <c r="C37" s="60"/>
      <c r="D37" s="69"/>
      <c r="E37" s="69"/>
      <c r="F37" s="61"/>
      <c r="G37" s="224"/>
      <c r="H37" s="363"/>
      <c r="I37" s="61"/>
      <c r="J37" s="65"/>
      <c r="K37" s="63"/>
      <c r="L37" s="64"/>
      <c r="M37" s="64"/>
      <c r="N37" s="64"/>
      <c r="O37" s="65"/>
      <c r="P37" s="63"/>
      <c r="Q37" s="64"/>
      <c r="R37" s="64"/>
      <c r="S37" s="64"/>
      <c r="T37" s="65"/>
      <c r="U37" s="63"/>
      <c r="V37" s="64"/>
      <c r="W37" s="65"/>
      <c r="X37" s="62"/>
      <c r="Y37" s="63"/>
      <c r="Z37" s="66"/>
      <c r="AA37" s="58"/>
    </row>
    <row r="38" spans="1:27" s="87" customFormat="1" ht="15.75" customHeight="1" hidden="1">
      <c r="A38" s="35"/>
      <c r="B38" s="59"/>
      <c r="C38" s="69"/>
      <c r="D38" s="69"/>
      <c r="E38" s="69"/>
      <c r="F38" s="61"/>
      <c r="G38" s="224"/>
      <c r="H38" s="363"/>
      <c r="I38" s="61"/>
      <c r="J38" s="65"/>
      <c r="K38" s="63"/>
      <c r="L38" s="64"/>
      <c r="M38" s="64"/>
      <c r="N38" s="64"/>
      <c r="O38" s="65"/>
      <c r="P38" s="63"/>
      <c r="Q38" s="64"/>
      <c r="R38" s="64"/>
      <c r="S38" s="64"/>
      <c r="T38" s="65"/>
      <c r="U38" s="63"/>
      <c r="V38" s="64"/>
      <c r="W38" s="65"/>
      <c r="X38" s="62"/>
      <c r="Y38" s="63"/>
      <c r="Z38" s="66"/>
      <c r="AA38" s="58"/>
    </row>
    <row r="39" spans="1:27" s="47" customFormat="1" ht="27.75" customHeight="1">
      <c r="A39" s="35" t="s">
        <v>351</v>
      </c>
      <c r="B39" s="70" t="s">
        <v>680</v>
      </c>
      <c r="C39" s="38"/>
      <c r="D39" s="38">
        <f>SUM(D34,D37)</f>
        <v>19048</v>
      </c>
      <c r="E39" s="38"/>
      <c r="F39" s="49">
        <f aca="true" t="shared" si="1" ref="F39:I40">SUM(F34,F37)</f>
        <v>19048</v>
      </c>
      <c r="G39" s="216">
        <f t="shared" si="1"/>
        <v>19048</v>
      </c>
      <c r="H39" s="359">
        <f t="shared" si="1"/>
        <v>0</v>
      </c>
      <c r="I39" s="384">
        <f t="shared" si="1"/>
        <v>550163.1</v>
      </c>
      <c r="J39" s="50"/>
      <c r="K39" s="51"/>
      <c r="L39" s="52"/>
      <c r="M39" s="52"/>
      <c r="N39" s="52"/>
      <c r="O39" s="53"/>
      <c r="P39" s="51"/>
      <c r="Q39" s="52"/>
      <c r="R39" s="52"/>
      <c r="S39" s="52"/>
      <c r="T39" s="53"/>
      <c r="U39" s="51"/>
      <c r="V39" s="52"/>
      <c r="W39" s="53"/>
      <c r="X39" s="50"/>
      <c r="Y39" s="51"/>
      <c r="Z39" s="54"/>
      <c r="AA39" s="55">
        <f>SUM(J39)</f>
        <v>0</v>
      </c>
    </row>
    <row r="40" spans="1:27" s="47" customFormat="1" ht="18.75">
      <c r="A40" s="35" t="s">
        <v>174</v>
      </c>
      <c r="B40" s="70" t="s">
        <v>681</v>
      </c>
      <c r="C40" s="38"/>
      <c r="D40" s="38">
        <f>SUM(D35,D38)</f>
        <v>3420</v>
      </c>
      <c r="E40" s="38"/>
      <c r="F40" s="49">
        <f t="shared" si="1"/>
        <v>1007</v>
      </c>
      <c r="G40" s="216">
        <f t="shared" si="1"/>
        <v>499</v>
      </c>
      <c r="H40" s="359">
        <f t="shared" si="1"/>
        <v>0</v>
      </c>
      <c r="I40" s="384">
        <f t="shared" si="1"/>
        <v>4499.264</v>
      </c>
      <c r="J40" s="50"/>
      <c r="K40" s="51"/>
      <c r="L40" s="52"/>
      <c r="M40" s="52"/>
      <c r="N40" s="52"/>
      <c r="O40" s="53"/>
      <c r="P40" s="51"/>
      <c r="Q40" s="52"/>
      <c r="R40" s="52"/>
      <c r="S40" s="52"/>
      <c r="T40" s="53"/>
      <c r="U40" s="51"/>
      <c r="V40" s="52"/>
      <c r="W40" s="53"/>
      <c r="X40" s="50"/>
      <c r="Y40" s="51"/>
      <c r="Z40" s="54"/>
      <c r="AA40" s="55">
        <f>SUM(J40)</f>
        <v>0</v>
      </c>
    </row>
    <row r="41" spans="1:27" s="47" customFormat="1" ht="18.75">
      <c r="A41" s="35"/>
      <c r="B41" s="70"/>
      <c r="C41" s="38"/>
      <c r="D41" s="38"/>
      <c r="E41" s="38"/>
      <c r="F41" s="49"/>
      <c r="G41" s="216"/>
      <c r="H41" s="359"/>
      <c r="I41" s="49"/>
      <c r="J41" s="53"/>
      <c r="K41" s="51"/>
      <c r="L41" s="52"/>
      <c r="M41" s="52"/>
      <c r="N41" s="52"/>
      <c r="O41" s="53"/>
      <c r="P41" s="51"/>
      <c r="Q41" s="52"/>
      <c r="R41" s="52"/>
      <c r="S41" s="52"/>
      <c r="T41" s="53"/>
      <c r="U41" s="51"/>
      <c r="V41" s="52"/>
      <c r="W41" s="53"/>
      <c r="X41" s="50"/>
      <c r="Y41" s="51"/>
      <c r="Z41" s="54"/>
      <c r="AA41" s="55"/>
    </row>
    <row r="42" spans="1:27" s="47" customFormat="1" ht="9.75" customHeight="1">
      <c r="A42" s="35"/>
      <c r="B42" s="70"/>
      <c r="C42" s="38"/>
      <c r="D42" s="38"/>
      <c r="E42" s="38"/>
      <c r="F42" s="49"/>
      <c r="G42" s="216"/>
      <c r="H42" s="359"/>
      <c r="I42" s="49"/>
      <c r="J42" s="53"/>
      <c r="K42" s="51"/>
      <c r="L42" s="52"/>
      <c r="M42" s="52"/>
      <c r="N42" s="52"/>
      <c r="O42" s="53"/>
      <c r="P42" s="51"/>
      <c r="Q42" s="52"/>
      <c r="R42" s="52"/>
      <c r="S42" s="52"/>
      <c r="T42" s="53"/>
      <c r="U42" s="51"/>
      <c r="V42" s="52"/>
      <c r="W42" s="53"/>
      <c r="X42" s="50"/>
      <c r="Y42" s="51"/>
      <c r="Z42" s="54"/>
      <c r="AA42" s="55"/>
    </row>
    <row r="43" spans="1:27" s="47" customFormat="1" ht="18.75" customHeight="1" hidden="1">
      <c r="A43" s="35"/>
      <c r="B43" s="56"/>
      <c r="C43" s="38"/>
      <c r="D43" s="125"/>
      <c r="E43" s="125"/>
      <c r="F43" s="71"/>
      <c r="G43" s="225"/>
      <c r="H43" s="365"/>
      <c r="I43" s="71"/>
      <c r="J43" s="75"/>
      <c r="K43" s="73"/>
      <c r="L43" s="74"/>
      <c r="M43" s="74"/>
      <c r="N43" s="74"/>
      <c r="O43" s="75"/>
      <c r="P43" s="73"/>
      <c r="Q43" s="74"/>
      <c r="R43" s="74"/>
      <c r="S43" s="74"/>
      <c r="T43" s="75"/>
      <c r="U43" s="73"/>
      <c r="V43" s="74"/>
      <c r="W43" s="75"/>
      <c r="X43" s="72"/>
      <c r="Y43" s="73"/>
      <c r="Z43" s="76"/>
      <c r="AA43" s="67"/>
    </row>
    <row r="44" spans="1:27" s="68" customFormat="1" ht="15.75" customHeight="1" hidden="1">
      <c r="A44" s="35"/>
      <c r="B44" s="59"/>
      <c r="C44" s="60"/>
      <c r="D44" s="69"/>
      <c r="E44" s="69"/>
      <c r="F44" s="61"/>
      <c r="G44" s="222"/>
      <c r="H44" s="363"/>
      <c r="I44" s="61"/>
      <c r="J44" s="65"/>
      <c r="K44" s="63"/>
      <c r="L44" s="64"/>
      <c r="M44" s="64"/>
      <c r="N44" s="64"/>
      <c r="O44" s="65"/>
      <c r="P44" s="63"/>
      <c r="Q44" s="64"/>
      <c r="R44" s="64"/>
      <c r="S44" s="64"/>
      <c r="T44" s="65"/>
      <c r="U44" s="63"/>
      <c r="V44" s="64"/>
      <c r="W44" s="65"/>
      <c r="X44" s="62"/>
      <c r="Y44" s="63"/>
      <c r="Z44" s="66"/>
      <c r="AA44" s="67"/>
    </row>
    <row r="45" spans="1:27" s="68" customFormat="1" ht="15.75" customHeight="1" hidden="1">
      <c r="A45" s="35"/>
      <c r="B45" s="59"/>
      <c r="C45" s="60"/>
      <c r="D45" s="69"/>
      <c r="E45" s="69"/>
      <c r="F45" s="61"/>
      <c r="G45" s="222"/>
      <c r="H45" s="363"/>
      <c r="I45" s="61"/>
      <c r="J45" s="65"/>
      <c r="K45" s="63"/>
      <c r="L45" s="64"/>
      <c r="M45" s="64"/>
      <c r="N45" s="64"/>
      <c r="O45" s="65"/>
      <c r="P45" s="63"/>
      <c r="Q45" s="64"/>
      <c r="R45" s="64"/>
      <c r="S45" s="64"/>
      <c r="T45" s="65"/>
      <c r="U45" s="63"/>
      <c r="V45" s="64"/>
      <c r="W45" s="65"/>
      <c r="X45" s="62"/>
      <c r="Y45" s="63"/>
      <c r="Z45" s="66"/>
      <c r="AA45" s="67"/>
    </row>
    <row r="46" spans="1:27" s="47" customFormat="1" ht="18.75" customHeight="1" hidden="1">
      <c r="A46" s="35"/>
      <c r="B46" s="70"/>
      <c r="C46" s="38"/>
      <c r="D46" s="125"/>
      <c r="E46" s="125"/>
      <c r="F46" s="71"/>
      <c r="G46" s="225"/>
      <c r="H46" s="365"/>
      <c r="I46" s="71"/>
      <c r="J46" s="75"/>
      <c r="K46" s="73"/>
      <c r="L46" s="74"/>
      <c r="M46" s="74"/>
      <c r="N46" s="74"/>
      <c r="O46" s="75"/>
      <c r="P46" s="73"/>
      <c r="Q46" s="74"/>
      <c r="R46" s="74"/>
      <c r="S46" s="74"/>
      <c r="T46" s="75"/>
      <c r="U46" s="73"/>
      <c r="V46" s="74"/>
      <c r="W46" s="75"/>
      <c r="X46" s="72"/>
      <c r="Y46" s="73"/>
      <c r="Z46" s="76"/>
      <c r="AA46" s="67"/>
    </row>
    <row r="47" spans="1:27" s="47" customFormat="1" ht="9" customHeight="1" hidden="1">
      <c r="A47" s="35"/>
      <c r="B47" s="70"/>
      <c r="C47" s="38"/>
      <c r="D47" s="125"/>
      <c r="E47" s="125"/>
      <c r="F47" s="71"/>
      <c r="G47" s="225"/>
      <c r="H47" s="365"/>
      <c r="I47" s="71"/>
      <c r="J47" s="75"/>
      <c r="K47" s="73"/>
      <c r="L47" s="74"/>
      <c r="M47" s="74"/>
      <c r="N47" s="74"/>
      <c r="O47" s="75"/>
      <c r="P47" s="73"/>
      <c r="Q47" s="74"/>
      <c r="R47" s="74"/>
      <c r="S47" s="74"/>
      <c r="T47" s="75"/>
      <c r="U47" s="73"/>
      <c r="V47" s="74"/>
      <c r="W47" s="75"/>
      <c r="X47" s="72"/>
      <c r="Y47" s="73"/>
      <c r="Z47" s="76"/>
      <c r="AA47" s="67"/>
    </row>
    <row r="48" spans="1:27" s="47" customFormat="1" ht="18.75" customHeight="1" hidden="1">
      <c r="A48" s="35"/>
      <c r="B48" s="204"/>
      <c r="C48" s="38"/>
      <c r="D48" s="125"/>
      <c r="E48" s="125"/>
      <c r="F48" s="71"/>
      <c r="G48" s="225"/>
      <c r="H48" s="365"/>
      <c r="I48" s="71"/>
      <c r="J48" s="75"/>
      <c r="K48" s="73"/>
      <c r="L48" s="74"/>
      <c r="M48" s="74"/>
      <c r="N48" s="74"/>
      <c r="O48" s="75"/>
      <c r="P48" s="73"/>
      <c r="Q48" s="74"/>
      <c r="R48" s="74"/>
      <c r="S48" s="74"/>
      <c r="T48" s="75"/>
      <c r="U48" s="73"/>
      <c r="V48" s="74"/>
      <c r="W48" s="75"/>
      <c r="X48" s="72"/>
      <c r="Y48" s="73"/>
      <c r="Z48" s="76"/>
      <c r="AA48" s="67"/>
    </row>
    <row r="49" spans="1:27" s="68" customFormat="1" ht="15.75" customHeight="1" hidden="1">
      <c r="A49" s="35"/>
      <c r="B49" s="59"/>
      <c r="C49" s="60"/>
      <c r="D49" s="69"/>
      <c r="E49" s="69"/>
      <c r="F49" s="61"/>
      <c r="G49" s="222"/>
      <c r="H49" s="363"/>
      <c r="I49" s="61"/>
      <c r="J49" s="65"/>
      <c r="K49" s="63"/>
      <c r="L49" s="64"/>
      <c r="M49" s="64"/>
      <c r="N49" s="64"/>
      <c r="O49" s="65"/>
      <c r="P49" s="63"/>
      <c r="Q49" s="64"/>
      <c r="R49" s="64"/>
      <c r="S49" s="64"/>
      <c r="T49" s="65"/>
      <c r="U49" s="63"/>
      <c r="V49" s="64"/>
      <c r="W49" s="65"/>
      <c r="X49" s="62"/>
      <c r="Y49" s="63"/>
      <c r="Z49" s="66"/>
      <c r="AA49" s="67"/>
    </row>
    <row r="50" spans="1:27" s="68" customFormat="1" ht="15.75" customHeight="1" hidden="1">
      <c r="A50" s="35"/>
      <c r="B50" s="59"/>
      <c r="C50" s="60"/>
      <c r="D50" s="69"/>
      <c r="E50" s="69"/>
      <c r="F50" s="61"/>
      <c r="G50" s="222"/>
      <c r="H50" s="363"/>
      <c r="I50" s="61"/>
      <c r="J50" s="65"/>
      <c r="K50" s="63"/>
      <c r="L50" s="64"/>
      <c r="M50" s="64"/>
      <c r="N50" s="64"/>
      <c r="O50" s="65"/>
      <c r="P50" s="63"/>
      <c r="Q50" s="64"/>
      <c r="R50" s="64"/>
      <c r="S50" s="64"/>
      <c r="T50" s="65"/>
      <c r="U50" s="63"/>
      <c r="V50" s="64"/>
      <c r="W50" s="65"/>
      <c r="X50" s="62"/>
      <c r="Y50" s="63"/>
      <c r="Z50" s="66"/>
      <c r="AA50" s="67"/>
    </row>
    <row r="51" spans="1:27" s="47" customFormat="1" ht="18.75">
      <c r="A51" s="35"/>
      <c r="B51" s="70"/>
      <c r="C51" s="38"/>
      <c r="D51" s="38"/>
      <c r="E51" s="38"/>
      <c r="F51" s="49"/>
      <c r="G51" s="216"/>
      <c r="H51" s="359"/>
      <c r="I51" s="49"/>
      <c r="J51" s="53"/>
      <c r="K51" s="51"/>
      <c r="L51" s="52"/>
      <c r="M51" s="52"/>
      <c r="N51" s="52"/>
      <c r="O51" s="53"/>
      <c r="P51" s="51"/>
      <c r="Q51" s="52"/>
      <c r="R51" s="52"/>
      <c r="S51" s="52"/>
      <c r="T51" s="53"/>
      <c r="U51" s="51"/>
      <c r="V51" s="52"/>
      <c r="W51" s="53"/>
      <c r="X51" s="50"/>
      <c r="Y51" s="51"/>
      <c r="Z51" s="54"/>
      <c r="AA51" s="55"/>
    </row>
    <row r="52" spans="1:27" s="96" customFormat="1" ht="22.5">
      <c r="A52" s="35" t="s">
        <v>375</v>
      </c>
      <c r="B52" s="88" t="s">
        <v>469</v>
      </c>
      <c r="C52" s="89">
        <f>SUM(C25,C33)</f>
        <v>650163.1</v>
      </c>
      <c r="D52" s="89"/>
      <c r="E52" s="89"/>
      <c r="F52" s="90"/>
      <c r="G52" s="221"/>
      <c r="H52" s="362"/>
      <c r="I52" s="220"/>
      <c r="J52" s="109"/>
      <c r="K52" s="93"/>
      <c r="L52" s="91"/>
      <c r="M52" s="91"/>
      <c r="N52" s="91"/>
      <c r="O52" s="92"/>
      <c r="P52" s="93"/>
      <c r="Q52" s="91"/>
      <c r="R52" s="91"/>
      <c r="S52" s="91"/>
      <c r="T52" s="92"/>
      <c r="U52" s="93"/>
      <c r="V52" s="91"/>
      <c r="W52" s="92"/>
      <c r="X52" s="109"/>
      <c r="Y52" s="93"/>
      <c r="Z52" s="94"/>
      <c r="AA52" s="95"/>
    </row>
    <row r="53" spans="1:28" s="47" customFormat="1" ht="18.75">
      <c r="A53" s="35" t="s">
        <v>376</v>
      </c>
      <c r="B53" s="36" t="s">
        <v>470</v>
      </c>
      <c r="C53" s="38"/>
      <c r="D53" s="38">
        <f>SUM(D29,D39,D44,D49)-2</f>
        <v>166832</v>
      </c>
      <c r="E53" s="38"/>
      <c r="F53" s="49">
        <f>SUM(F29,F39,F44,F49)</f>
        <v>69334</v>
      </c>
      <c r="G53" s="216">
        <f>SUM(G29,G39,G44,G49)</f>
        <v>30074</v>
      </c>
      <c r="H53" s="359">
        <f>SUM(H29,H39,H44,H49)</f>
        <v>4762</v>
      </c>
      <c r="I53" s="384">
        <f>SUM(I29,I39,I44,I49)</f>
        <v>550163.1</v>
      </c>
      <c r="J53" s="384">
        <f>SUM(J29,J39,J44,J49)</f>
        <v>0</v>
      </c>
      <c r="K53" s="51"/>
      <c r="L53" s="52"/>
      <c r="M53" s="52"/>
      <c r="N53" s="52"/>
      <c r="O53" s="53"/>
      <c r="P53" s="51"/>
      <c r="Q53" s="52"/>
      <c r="R53" s="52"/>
      <c r="S53" s="52"/>
      <c r="T53" s="53"/>
      <c r="U53" s="51"/>
      <c r="V53" s="52"/>
      <c r="W53" s="53"/>
      <c r="X53" s="50"/>
      <c r="Y53" s="51"/>
      <c r="Z53" s="54"/>
      <c r="AA53" s="55">
        <f>SUM(J53)</f>
        <v>0</v>
      </c>
      <c r="AB53" s="47">
        <f>SUM(F26:I26,F34:I34,F44:I44,F49:I49)</f>
        <v>654333.1</v>
      </c>
    </row>
    <row r="54" spans="1:28" s="47" customFormat="1" ht="18.75">
      <c r="A54" s="35" t="s">
        <v>142</v>
      </c>
      <c r="B54" s="36" t="s">
        <v>352</v>
      </c>
      <c r="C54" s="38"/>
      <c r="D54" s="38">
        <f>SUM(D30,D40,D45,D50)</f>
        <v>15045</v>
      </c>
      <c r="E54" s="38"/>
      <c r="F54" s="49">
        <f>SUM(F50,F45,F40,F30)</f>
        <v>2026</v>
      </c>
      <c r="G54" s="216">
        <f>SUM(G50,G45,G40,G30)</f>
        <v>641</v>
      </c>
      <c r="H54" s="359">
        <f>SUM(H50,H45,H40,H30)</f>
        <v>21</v>
      </c>
      <c r="I54" s="384">
        <f>SUM(I50,I45,I40,I30)</f>
        <v>4499.264</v>
      </c>
      <c r="J54" s="384">
        <f>SUM(J50,J45,J40,J30)</f>
        <v>0</v>
      </c>
      <c r="K54" s="51"/>
      <c r="L54" s="52"/>
      <c r="M54" s="52"/>
      <c r="N54" s="52"/>
      <c r="O54" s="53"/>
      <c r="P54" s="51"/>
      <c r="Q54" s="52"/>
      <c r="R54" s="52"/>
      <c r="S54" s="52"/>
      <c r="T54" s="53"/>
      <c r="U54" s="51"/>
      <c r="V54" s="52"/>
      <c r="W54" s="53"/>
      <c r="X54" s="50"/>
      <c r="Y54" s="51"/>
      <c r="Z54" s="54"/>
      <c r="AA54" s="55">
        <f>SUM(J54)</f>
        <v>0</v>
      </c>
      <c r="AB54" s="47">
        <f>SUM(AA50,AA45,AA40,AA30)</f>
        <v>0</v>
      </c>
    </row>
    <row r="55" spans="1:27" s="47" customFormat="1" ht="15" customHeight="1">
      <c r="A55" s="35"/>
      <c r="B55" s="70"/>
      <c r="C55" s="37"/>
      <c r="D55" s="37"/>
      <c r="E55" s="37"/>
      <c r="F55" s="45"/>
      <c r="G55" s="226"/>
      <c r="H55" s="366"/>
      <c r="I55" s="39"/>
      <c r="J55" s="41"/>
      <c r="K55" s="42"/>
      <c r="L55" s="40"/>
      <c r="M55" s="40"/>
      <c r="N55" s="40"/>
      <c r="O55" s="44"/>
      <c r="P55" s="42"/>
      <c r="Q55" s="40"/>
      <c r="R55" s="40"/>
      <c r="S55" s="40"/>
      <c r="T55" s="44"/>
      <c r="U55" s="42"/>
      <c r="V55" s="40"/>
      <c r="W55" s="44"/>
      <c r="X55" s="41"/>
      <c r="Y55" s="42"/>
      <c r="Z55" s="43"/>
      <c r="AA55" s="46"/>
    </row>
    <row r="56" spans="1:27" s="47" customFormat="1" ht="60" customHeight="1">
      <c r="A56" s="35" t="s">
        <v>377</v>
      </c>
      <c r="B56" s="48" t="s">
        <v>474</v>
      </c>
      <c r="C56" s="38"/>
      <c r="D56" s="38"/>
      <c r="E56" s="38"/>
      <c r="F56" s="49"/>
      <c r="G56" s="216"/>
      <c r="H56" s="359"/>
      <c r="I56" s="49"/>
      <c r="J56" s="53"/>
      <c r="K56" s="51"/>
      <c r="L56" s="52"/>
      <c r="M56" s="52"/>
      <c r="N56" s="52"/>
      <c r="O56" s="53"/>
      <c r="P56" s="51"/>
      <c r="Q56" s="52"/>
      <c r="R56" s="52"/>
      <c r="S56" s="52"/>
      <c r="T56" s="53"/>
      <c r="U56" s="51"/>
      <c r="V56" s="52"/>
      <c r="W56" s="53"/>
      <c r="X56" s="50"/>
      <c r="Y56" s="51"/>
      <c r="Z56" s="54"/>
      <c r="AA56" s="55"/>
    </row>
    <row r="57" spans="1:27" s="47" customFormat="1" ht="18.75">
      <c r="A57" s="35" t="s">
        <v>378</v>
      </c>
      <c r="B57" s="56" t="s">
        <v>465</v>
      </c>
      <c r="C57" s="38"/>
      <c r="D57" s="38"/>
      <c r="E57" s="38"/>
      <c r="F57" s="49"/>
      <c r="G57" s="216"/>
      <c r="H57" s="359"/>
      <c r="I57" s="49"/>
      <c r="J57" s="53"/>
      <c r="K57" s="51"/>
      <c r="L57" s="52"/>
      <c r="M57" s="52"/>
      <c r="N57" s="52"/>
      <c r="O57" s="53"/>
      <c r="P57" s="51"/>
      <c r="Q57" s="52"/>
      <c r="R57" s="52"/>
      <c r="S57" s="52"/>
      <c r="T57" s="53"/>
      <c r="U57" s="51"/>
      <c r="V57" s="52"/>
      <c r="W57" s="53"/>
      <c r="X57" s="50"/>
      <c r="Y57" s="51"/>
      <c r="Z57" s="54"/>
      <c r="AA57" s="55"/>
    </row>
    <row r="58" spans="1:27" s="47" customFormat="1" ht="18.75">
      <c r="A58" s="35" t="s">
        <v>503</v>
      </c>
      <c r="B58" s="57" t="s">
        <v>235</v>
      </c>
      <c r="C58" s="38">
        <v>120000</v>
      </c>
      <c r="D58" s="38"/>
      <c r="E58" s="38"/>
      <c r="F58" s="49"/>
      <c r="G58" s="216"/>
      <c r="H58" s="359"/>
      <c r="I58" s="49"/>
      <c r="J58" s="53"/>
      <c r="K58" s="51"/>
      <c r="L58" s="52"/>
      <c r="M58" s="52"/>
      <c r="N58" s="52"/>
      <c r="O58" s="53"/>
      <c r="P58" s="51"/>
      <c r="Q58" s="52"/>
      <c r="R58" s="52"/>
      <c r="S58" s="52"/>
      <c r="T58" s="53"/>
      <c r="U58" s="51"/>
      <c r="V58" s="52"/>
      <c r="W58" s="53"/>
      <c r="X58" s="50"/>
      <c r="Y58" s="51"/>
      <c r="Z58" s="54"/>
      <c r="AA58" s="58"/>
    </row>
    <row r="59" spans="1:27" s="68" customFormat="1" ht="15.75">
      <c r="A59" s="35" t="s">
        <v>504</v>
      </c>
      <c r="B59" s="59" t="s">
        <v>633</v>
      </c>
      <c r="C59" s="60"/>
      <c r="D59" s="60"/>
      <c r="E59" s="60"/>
      <c r="F59" s="61">
        <v>28400</v>
      </c>
      <c r="G59" s="224">
        <v>28400</v>
      </c>
      <c r="H59" s="363">
        <v>28400</v>
      </c>
      <c r="I59" s="525">
        <f>28400+6400</f>
        <v>34800</v>
      </c>
      <c r="J59" s="65"/>
      <c r="K59" s="63"/>
      <c r="L59" s="64"/>
      <c r="M59" s="64"/>
      <c r="N59" s="64"/>
      <c r="O59" s="65"/>
      <c r="P59" s="63"/>
      <c r="Q59" s="64"/>
      <c r="R59" s="64"/>
      <c r="S59" s="64"/>
      <c r="T59" s="65"/>
      <c r="U59" s="63"/>
      <c r="V59" s="64"/>
      <c r="W59" s="65"/>
      <c r="X59" s="62"/>
      <c r="Y59" s="63"/>
      <c r="Z59" s="66"/>
      <c r="AA59" s="67">
        <f>SUM(J59)</f>
        <v>0</v>
      </c>
    </row>
    <row r="60" spans="1:27" s="68" customFormat="1" ht="15.75">
      <c r="A60" s="35" t="s">
        <v>505</v>
      </c>
      <c r="B60" s="59" t="s">
        <v>283</v>
      </c>
      <c r="C60" s="60"/>
      <c r="D60" s="60"/>
      <c r="E60" s="69"/>
      <c r="F60" s="61">
        <v>3059</v>
      </c>
      <c r="G60" s="224">
        <v>2300</v>
      </c>
      <c r="H60" s="363">
        <v>1297</v>
      </c>
      <c r="I60" s="525">
        <v>73</v>
      </c>
      <c r="J60" s="65"/>
      <c r="K60" s="63"/>
      <c r="L60" s="64"/>
      <c r="M60" s="64"/>
      <c r="N60" s="64"/>
      <c r="O60" s="65"/>
      <c r="P60" s="63"/>
      <c r="Q60" s="64"/>
      <c r="R60" s="64"/>
      <c r="S60" s="64"/>
      <c r="T60" s="65"/>
      <c r="U60" s="63"/>
      <c r="V60" s="64"/>
      <c r="W60" s="65"/>
      <c r="X60" s="62"/>
      <c r="Y60" s="63"/>
      <c r="Z60" s="66"/>
      <c r="AA60" s="67">
        <f>SUM(J60)</f>
        <v>0</v>
      </c>
    </row>
    <row r="61" spans="1:27" s="47" customFormat="1" ht="18.75" hidden="1">
      <c r="A61" s="35"/>
      <c r="B61" s="70"/>
      <c r="C61" s="38"/>
      <c r="D61" s="38"/>
      <c r="E61" s="38"/>
      <c r="F61" s="71"/>
      <c r="G61" s="227"/>
      <c r="H61" s="365"/>
      <c r="I61" s="71"/>
      <c r="J61" s="75"/>
      <c r="K61" s="73"/>
      <c r="L61" s="74"/>
      <c r="M61" s="74"/>
      <c r="N61" s="74"/>
      <c r="O61" s="75"/>
      <c r="P61" s="73"/>
      <c r="Q61" s="74"/>
      <c r="R61" s="74"/>
      <c r="S61" s="74"/>
      <c r="T61" s="75"/>
      <c r="U61" s="73"/>
      <c r="V61" s="74"/>
      <c r="W61" s="75"/>
      <c r="X61" s="72"/>
      <c r="Y61" s="73"/>
      <c r="Z61" s="76"/>
      <c r="AA61" s="67"/>
    </row>
    <row r="62" spans="1:27" s="85" customFormat="1" ht="19.5" hidden="1">
      <c r="A62" s="35" t="s">
        <v>148</v>
      </c>
      <c r="B62" s="77" t="s">
        <v>466</v>
      </c>
      <c r="C62" s="78"/>
      <c r="D62" s="78"/>
      <c r="E62" s="78"/>
      <c r="F62" s="79"/>
      <c r="G62" s="228"/>
      <c r="H62" s="367"/>
      <c r="I62" s="79"/>
      <c r="J62" s="83"/>
      <c r="K62" s="82"/>
      <c r="L62" s="80"/>
      <c r="M62" s="80"/>
      <c r="N62" s="80"/>
      <c r="O62" s="83"/>
      <c r="P62" s="82"/>
      <c r="Q62" s="80"/>
      <c r="R62" s="80"/>
      <c r="S62" s="80"/>
      <c r="T62" s="83"/>
      <c r="U62" s="82"/>
      <c r="V62" s="80"/>
      <c r="W62" s="83"/>
      <c r="X62" s="81"/>
      <c r="Y62" s="82"/>
      <c r="Z62" s="84"/>
      <c r="AA62" s="67"/>
    </row>
    <row r="63" spans="1:27" s="87" customFormat="1" ht="18.75" hidden="1">
      <c r="A63" s="35" t="s">
        <v>149</v>
      </c>
      <c r="B63" s="203" t="s">
        <v>236</v>
      </c>
      <c r="C63" s="38">
        <v>197038.992</v>
      </c>
      <c r="D63" s="69"/>
      <c r="E63" s="69"/>
      <c r="F63" s="61"/>
      <c r="G63" s="222"/>
      <c r="H63" s="363"/>
      <c r="I63" s="61"/>
      <c r="J63" s="65"/>
      <c r="K63" s="63"/>
      <c r="L63" s="64"/>
      <c r="M63" s="64"/>
      <c r="N63" s="64"/>
      <c r="O63" s="65"/>
      <c r="P63" s="63"/>
      <c r="Q63" s="64"/>
      <c r="R63" s="64"/>
      <c r="S63" s="64"/>
      <c r="T63" s="65"/>
      <c r="U63" s="63"/>
      <c r="V63" s="64"/>
      <c r="W63" s="65"/>
      <c r="X63" s="62"/>
      <c r="Y63" s="63"/>
      <c r="Z63" s="66"/>
      <c r="AA63" s="67"/>
    </row>
    <row r="64" spans="1:27" s="68" customFormat="1" ht="15.75" hidden="1">
      <c r="A64" s="35" t="s">
        <v>379</v>
      </c>
      <c r="B64" s="59" t="s">
        <v>633</v>
      </c>
      <c r="C64" s="60"/>
      <c r="D64" s="60"/>
      <c r="E64" s="60"/>
      <c r="F64" s="61">
        <v>55800</v>
      </c>
      <c r="G64" s="222">
        <v>43600</v>
      </c>
      <c r="H64" s="368">
        <f>43600+43600+10439</f>
        <v>97639</v>
      </c>
      <c r="I64" s="369"/>
      <c r="J64" s="65"/>
      <c r="K64" s="63"/>
      <c r="L64" s="64"/>
      <c r="M64" s="64"/>
      <c r="N64" s="64"/>
      <c r="O64" s="65"/>
      <c r="P64" s="63"/>
      <c r="Q64" s="64"/>
      <c r="R64" s="64"/>
      <c r="S64" s="64"/>
      <c r="T64" s="65"/>
      <c r="U64" s="63"/>
      <c r="V64" s="64"/>
      <c r="W64" s="65"/>
      <c r="X64" s="62"/>
      <c r="Y64" s="63"/>
      <c r="Z64" s="66"/>
      <c r="AA64" s="67">
        <f>SUM(I64:Z64)</f>
        <v>0</v>
      </c>
    </row>
    <row r="65" spans="1:27" s="68" customFormat="1" ht="15.75" hidden="1">
      <c r="A65" s="35" t="s">
        <v>150</v>
      </c>
      <c r="B65" s="59" t="s">
        <v>284</v>
      </c>
      <c r="C65" s="60"/>
      <c r="D65" s="60"/>
      <c r="E65" s="69"/>
      <c r="F65" s="61">
        <v>5332</v>
      </c>
      <c r="G65" s="222">
        <v>3452</v>
      </c>
      <c r="H65" s="363">
        <v>1353</v>
      </c>
      <c r="I65" s="61"/>
      <c r="J65" s="65"/>
      <c r="K65" s="63"/>
      <c r="L65" s="64"/>
      <c r="M65" s="64"/>
      <c r="N65" s="64"/>
      <c r="O65" s="65"/>
      <c r="P65" s="63"/>
      <c r="Q65" s="64"/>
      <c r="R65" s="64"/>
      <c r="S65" s="64"/>
      <c r="T65" s="65"/>
      <c r="U65" s="63"/>
      <c r="V65" s="64"/>
      <c r="W65" s="65"/>
      <c r="X65" s="62"/>
      <c r="Y65" s="63"/>
      <c r="Z65" s="66"/>
      <c r="AA65" s="67">
        <f>SUM(I65:Z65)</f>
        <v>0</v>
      </c>
    </row>
    <row r="66" spans="1:27" s="87" customFormat="1" ht="15.75" hidden="1">
      <c r="A66" s="35"/>
      <c r="B66" s="57"/>
      <c r="C66" s="69"/>
      <c r="D66" s="69"/>
      <c r="E66" s="69"/>
      <c r="F66" s="61"/>
      <c r="G66" s="222"/>
      <c r="H66" s="363"/>
      <c r="I66" s="61"/>
      <c r="J66" s="65"/>
      <c r="K66" s="63"/>
      <c r="L66" s="64"/>
      <c r="M66" s="64"/>
      <c r="N66" s="64"/>
      <c r="O66" s="65"/>
      <c r="P66" s="63"/>
      <c r="Q66" s="64"/>
      <c r="R66" s="64"/>
      <c r="S66" s="64"/>
      <c r="T66" s="65"/>
      <c r="U66" s="63"/>
      <c r="V66" s="64"/>
      <c r="W66" s="65"/>
      <c r="X66" s="62"/>
      <c r="Y66" s="63"/>
      <c r="Z66" s="66"/>
      <c r="AA66" s="58"/>
    </row>
    <row r="67" spans="1:27" s="87" customFormat="1" ht="15.75">
      <c r="A67" s="35"/>
      <c r="B67" s="59"/>
      <c r="C67" s="69"/>
      <c r="D67" s="69"/>
      <c r="E67" s="69"/>
      <c r="F67" s="61"/>
      <c r="G67" s="224"/>
      <c r="H67" s="363"/>
      <c r="I67" s="61"/>
      <c r="J67" s="65"/>
      <c r="K67" s="63"/>
      <c r="L67" s="64"/>
      <c r="M67" s="64"/>
      <c r="N67" s="64"/>
      <c r="O67" s="65"/>
      <c r="P67" s="63"/>
      <c r="Q67" s="64"/>
      <c r="R67" s="64"/>
      <c r="S67" s="64"/>
      <c r="T67" s="65"/>
      <c r="U67" s="63"/>
      <c r="V67" s="64"/>
      <c r="W67" s="65"/>
      <c r="X67" s="62"/>
      <c r="Y67" s="63"/>
      <c r="Z67" s="66"/>
      <c r="AA67" s="58"/>
    </row>
    <row r="68" spans="1:27" s="96" customFormat="1" ht="22.5">
      <c r="A68" s="35" t="s">
        <v>143</v>
      </c>
      <c r="B68" s="88" t="s">
        <v>471</v>
      </c>
      <c r="C68" s="89">
        <f>SUM(C58,C63)</f>
        <v>317038.99199999997</v>
      </c>
      <c r="D68" s="89"/>
      <c r="E68" s="89"/>
      <c r="F68" s="90"/>
      <c r="G68" s="219"/>
      <c r="H68" s="362"/>
      <c r="I68" s="90"/>
      <c r="J68" s="109"/>
      <c r="K68" s="93"/>
      <c r="L68" s="91"/>
      <c r="M68" s="91"/>
      <c r="N68" s="91"/>
      <c r="O68" s="92"/>
      <c r="P68" s="93"/>
      <c r="Q68" s="91"/>
      <c r="R68" s="91"/>
      <c r="S68" s="91"/>
      <c r="T68" s="92"/>
      <c r="U68" s="93"/>
      <c r="V68" s="91"/>
      <c r="W68" s="92"/>
      <c r="X68" s="109"/>
      <c r="Y68" s="93"/>
      <c r="Z68" s="94"/>
      <c r="AA68" s="95"/>
    </row>
    <row r="69" spans="1:28" s="47" customFormat="1" ht="18.75">
      <c r="A69" s="35" t="s">
        <v>144</v>
      </c>
      <c r="B69" s="36" t="s">
        <v>472</v>
      </c>
      <c r="C69" s="38"/>
      <c r="D69" s="38">
        <f>SUM(D59,D64)</f>
        <v>0</v>
      </c>
      <c r="E69" s="38"/>
      <c r="F69" s="49">
        <f aca="true" t="shared" si="2" ref="F69:J70">SUM(F59,F64)</f>
        <v>84200</v>
      </c>
      <c r="G69" s="229">
        <f t="shared" si="2"/>
        <v>72000</v>
      </c>
      <c r="H69" s="359">
        <f t="shared" si="2"/>
        <v>126039</v>
      </c>
      <c r="I69" s="49">
        <f t="shared" si="2"/>
        <v>34800</v>
      </c>
      <c r="J69" s="50">
        <f t="shared" si="2"/>
        <v>0</v>
      </c>
      <c r="K69" s="51"/>
      <c r="L69" s="52"/>
      <c r="M69" s="52"/>
      <c r="N69" s="52"/>
      <c r="O69" s="53"/>
      <c r="P69" s="51"/>
      <c r="Q69" s="52"/>
      <c r="R69" s="52"/>
      <c r="S69" s="52"/>
      <c r="T69" s="53"/>
      <c r="U69" s="51"/>
      <c r="V69" s="52"/>
      <c r="W69" s="53"/>
      <c r="X69" s="50"/>
      <c r="Y69" s="51"/>
      <c r="Z69" s="54"/>
      <c r="AA69" s="55">
        <f>SUM(J69)</f>
        <v>0</v>
      </c>
      <c r="AB69" s="47">
        <f>SUM(AA59,AA64)</f>
        <v>0</v>
      </c>
    </row>
    <row r="70" spans="1:28" s="47" customFormat="1" ht="18.75">
      <c r="A70" s="35" t="s">
        <v>145</v>
      </c>
      <c r="B70" s="36" t="s">
        <v>476</v>
      </c>
      <c r="C70" s="38"/>
      <c r="D70" s="38">
        <f>SUM(D60,D65)</f>
        <v>0</v>
      </c>
      <c r="E70" s="38"/>
      <c r="F70" s="49">
        <f t="shared" si="2"/>
        <v>8391</v>
      </c>
      <c r="G70" s="229">
        <f t="shared" si="2"/>
        <v>5752</v>
      </c>
      <c r="H70" s="359">
        <f t="shared" si="2"/>
        <v>2650</v>
      </c>
      <c r="I70" s="49">
        <f t="shared" si="2"/>
        <v>73</v>
      </c>
      <c r="J70" s="50">
        <f t="shared" si="2"/>
        <v>0</v>
      </c>
      <c r="K70" s="51"/>
      <c r="L70" s="52"/>
      <c r="M70" s="52"/>
      <c r="N70" s="52"/>
      <c r="O70" s="53"/>
      <c r="P70" s="51"/>
      <c r="Q70" s="52"/>
      <c r="R70" s="52"/>
      <c r="S70" s="52"/>
      <c r="T70" s="53"/>
      <c r="U70" s="51"/>
      <c r="V70" s="52"/>
      <c r="W70" s="53"/>
      <c r="X70" s="50"/>
      <c r="Y70" s="51"/>
      <c r="Z70" s="54"/>
      <c r="AA70" s="55">
        <f>SUM(J70)</f>
        <v>0</v>
      </c>
      <c r="AB70" s="47">
        <f>SUM(AA60,AA65)</f>
        <v>0</v>
      </c>
    </row>
    <row r="71" spans="1:27" s="47" customFormat="1" ht="18.75">
      <c r="A71" s="35"/>
      <c r="B71" s="36"/>
      <c r="C71" s="37"/>
      <c r="D71" s="38"/>
      <c r="E71" s="38"/>
      <c r="F71" s="39"/>
      <c r="G71" s="230"/>
      <c r="H71" s="366"/>
      <c r="I71" s="45"/>
      <c r="J71" s="41"/>
      <c r="K71" s="42"/>
      <c r="L71" s="40"/>
      <c r="M71" s="40"/>
      <c r="N71" s="40"/>
      <c r="O71" s="44"/>
      <c r="P71" s="42"/>
      <c r="Q71" s="40"/>
      <c r="R71" s="40"/>
      <c r="S71" s="40"/>
      <c r="T71" s="44"/>
      <c r="U71" s="42"/>
      <c r="V71" s="40"/>
      <c r="W71" s="44"/>
      <c r="X71" s="41"/>
      <c r="Y71" s="42"/>
      <c r="Z71" s="43"/>
      <c r="AA71" s="46"/>
    </row>
    <row r="72" spans="1:27" s="47" customFormat="1" ht="59.25" customHeight="1">
      <c r="A72" s="35" t="s">
        <v>146</v>
      </c>
      <c r="B72" s="48" t="s">
        <v>250</v>
      </c>
      <c r="C72" s="38"/>
      <c r="D72" s="38"/>
      <c r="E72" s="38"/>
      <c r="F72" s="49"/>
      <c r="G72" s="216"/>
      <c r="H72" s="359"/>
      <c r="I72" s="49"/>
      <c r="J72" s="53"/>
      <c r="K72" s="51"/>
      <c r="L72" s="52"/>
      <c r="M72" s="52"/>
      <c r="N72" s="52"/>
      <c r="O72" s="53"/>
      <c r="P72" s="51"/>
      <c r="Q72" s="52"/>
      <c r="R72" s="52"/>
      <c r="S72" s="52"/>
      <c r="T72" s="53"/>
      <c r="U72" s="51"/>
      <c r="V72" s="52"/>
      <c r="W72" s="53"/>
      <c r="X72" s="50"/>
      <c r="Y72" s="51"/>
      <c r="Z72" s="54"/>
      <c r="AA72" s="55"/>
    </row>
    <row r="73" spans="1:27" s="47" customFormat="1" ht="18.75">
      <c r="A73" s="35" t="s">
        <v>147</v>
      </c>
      <c r="B73" s="56" t="s">
        <v>237</v>
      </c>
      <c r="C73" s="38">
        <f>195806-157018.016</f>
        <v>38787.984</v>
      </c>
      <c r="D73" s="38"/>
      <c r="E73" s="38"/>
      <c r="F73" s="49"/>
      <c r="G73" s="216"/>
      <c r="H73" s="359"/>
      <c r="I73" s="49"/>
      <c r="J73" s="53"/>
      <c r="K73" s="51"/>
      <c r="L73" s="52"/>
      <c r="M73" s="52"/>
      <c r="N73" s="52"/>
      <c r="O73" s="53"/>
      <c r="P73" s="51"/>
      <c r="Q73" s="52"/>
      <c r="R73" s="52"/>
      <c r="S73" s="52"/>
      <c r="T73" s="53"/>
      <c r="U73" s="51"/>
      <c r="V73" s="52"/>
      <c r="W73" s="53"/>
      <c r="X73" s="50"/>
      <c r="Y73" s="51"/>
      <c r="Z73" s="54"/>
      <c r="AA73" s="55"/>
    </row>
    <row r="74" spans="1:27" s="47" customFormat="1" ht="18.75">
      <c r="A74" s="35"/>
      <c r="B74" s="57" t="s">
        <v>315</v>
      </c>
      <c r="C74" s="38"/>
      <c r="D74" s="38"/>
      <c r="E74" s="38"/>
      <c r="F74" s="49"/>
      <c r="G74" s="216"/>
      <c r="H74" s="359"/>
      <c r="I74" s="49"/>
      <c r="J74" s="53"/>
      <c r="K74" s="51"/>
      <c r="L74" s="52"/>
      <c r="M74" s="52"/>
      <c r="N74" s="52"/>
      <c r="O74" s="53"/>
      <c r="P74" s="51"/>
      <c r="Q74" s="52"/>
      <c r="R74" s="52"/>
      <c r="S74" s="52"/>
      <c r="T74" s="53"/>
      <c r="U74" s="51"/>
      <c r="V74" s="52"/>
      <c r="W74" s="53"/>
      <c r="X74" s="50"/>
      <c r="Y74" s="51"/>
      <c r="Z74" s="54"/>
      <c r="AA74" s="58"/>
    </row>
    <row r="75" spans="1:28" s="68" customFormat="1" ht="15.75">
      <c r="A75" s="35" t="s">
        <v>148</v>
      </c>
      <c r="B75" s="59" t="s">
        <v>633</v>
      </c>
      <c r="C75" s="60"/>
      <c r="D75" s="60"/>
      <c r="E75" s="60"/>
      <c r="F75" s="61"/>
      <c r="G75" s="224">
        <v>12238</v>
      </c>
      <c r="H75" s="363">
        <f>12238+3*1022</f>
        <v>15304</v>
      </c>
      <c r="I75" s="525">
        <f>4089+4089+3067</f>
        <v>11245</v>
      </c>
      <c r="J75" s="525"/>
      <c r="K75" s="63"/>
      <c r="L75" s="64"/>
      <c r="M75" s="64"/>
      <c r="N75" s="64"/>
      <c r="O75" s="65"/>
      <c r="P75" s="63"/>
      <c r="Q75" s="64"/>
      <c r="R75" s="64"/>
      <c r="S75" s="64"/>
      <c r="T75" s="65"/>
      <c r="U75" s="63"/>
      <c r="V75" s="64"/>
      <c r="W75" s="65"/>
      <c r="X75" s="62"/>
      <c r="Y75" s="63"/>
      <c r="Z75" s="66"/>
      <c r="AA75" s="67">
        <f>SUM(J75)</f>
        <v>0</v>
      </c>
      <c r="AB75" s="68">
        <f>AA75+G75</f>
        <v>12238</v>
      </c>
    </row>
    <row r="76" spans="1:27" s="68" customFormat="1" ht="15.75">
      <c r="A76" s="35" t="s">
        <v>149</v>
      </c>
      <c r="B76" s="59" t="s">
        <v>285</v>
      </c>
      <c r="C76" s="60"/>
      <c r="D76" s="60"/>
      <c r="E76" s="69"/>
      <c r="F76" s="61"/>
      <c r="G76" s="224">
        <v>6121</v>
      </c>
      <c r="H76" s="363">
        <f>975+90</f>
        <v>1065</v>
      </c>
      <c r="I76" s="525">
        <v>37.522</v>
      </c>
      <c r="J76" s="525"/>
      <c r="K76" s="63"/>
      <c r="L76" s="64"/>
      <c r="M76" s="64"/>
      <c r="N76" s="64"/>
      <c r="O76" s="65"/>
      <c r="P76" s="63"/>
      <c r="Q76" s="64"/>
      <c r="R76" s="64"/>
      <c r="S76" s="64"/>
      <c r="T76" s="65"/>
      <c r="U76" s="63"/>
      <c r="V76" s="64"/>
      <c r="W76" s="65"/>
      <c r="X76" s="62"/>
      <c r="Y76" s="63"/>
      <c r="Z76" s="66"/>
      <c r="AA76" s="67">
        <f>SUM(J76)</f>
        <v>0</v>
      </c>
    </row>
    <row r="77" spans="1:27" s="47" customFormat="1" ht="18.75">
      <c r="A77" s="35"/>
      <c r="B77" s="70"/>
      <c r="C77" s="38"/>
      <c r="D77" s="38"/>
      <c r="E77" s="38"/>
      <c r="F77" s="71"/>
      <c r="G77" s="227"/>
      <c r="H77" s="365"/>
      <c r="I77" s="71"/>
      <c r="J77" s="71"/>
      <c r="K77" s="73"/>
      <c r="L77" s="74"/>
      <c r="M77" s="74"/>
      <c r="N77" s="74"/>
      <c r="O77" s="75"/>
      <c r="P77" s="73"/>
      <c r="Q77" s="74"/>
      <c r="R77" s="74"/>
      <c r="S77" s="74"/>
      <c r="T77" s="75"/>
      <c r="U77" s="73"/>
      <c r="V77" s="74"/>
      <c r="W77" s="75"/>
      <c r="X77" s="72"/>
      <c r="Y77" s="73"/>
      <c r="Z77" s="76"/>
      <c r="AA77" s="67"/>
    </row>
    <row r="78" spans="1:27" s="85" customFormat="1" ht="19.5">
      <c r="A78" s="35" t="s">
        <v>379</v>
      </c>
      <c r="B78" s="77" t="s">
        <v>238</v>
      </c>
      <c r="C78" s="231">
        <f>203937.803-90824.141</f>
        <v>113113.66200000001</v>
      </c>
      <c r="D78" s="78"/>
      <c r="E78" s="78"/>
      <c r="F78" s="79"/>
      <c r="G78" s="228"/>
      <c r="H78" s="367"/>
      <c r="I78" s="79"/>
      <c r="J78" s="79"/>
      <c r="K78" s="82"/>
      <c r="L78" s="80"/>
      <c r="M78" s="80"/>
      <c r="N78" s="80"/>
      <c r="O78" s="83"/>
      <c r="P78" s="82"/>
      <c r="Q78" s="80"/>
      <c r="R78" s="80"/>
      <c r="S78" s="80"/>
      <c r="T78" s="83"/>
      <c r="U78" s="82"/>
      <c r="V78" s="80"/>
      <c r="W78" s="83"/>
      <c r="X78" s="81"/>
      <c r="Y78" s="82"/>
      <c r="Z78" s="84"/>
      <c r="AA78" s="67"/>
    </row>
    <row r="79" spans="1:27" s="87" customFormat="1" ht="32.25">
      <c r="A79" s="35"/>
      <c r="B79" s="86" t="s">
        <v>316</v>
      </c>
      <c r="C79" s="38"/>
      <c r="D79" s="69"/>
      <c r="E79" s="69"/>
      <c r="F79" s="61"/>
      <c r="G79" s="222"/>
      <c r="H79" s="363"/>
      <c r="I79" s="61"/>
      <c r="J79" s="61"/>
      <c r="K79" s="63"/>
      <c r="L79" s="64"/>
      <c r="M79" s="64"/>
      <c r="N79" s="64"/>
      <c r="O79" s="65"/>
      <c r="P79" s="63"/>
      <c r="Q79" s="64"/>
      <c r="R79" s="64"/>
      <c r="S79" s="64"/>
      <c r="T79" s="65"/>
      <c r="U79" s="63"/>
      <c r="V79" s="64"/>
      <c r="W79" s="65"/>
      <c r="X79" s="62"/>
      <c r="Y79" s="63"/>
      <c r="Z79" s="66"/>
      <c r="AA79" s="67"/>
    </row>
    <row r="80" spans="1:28" s="68" customFormat="1" ht="15.75">
      <c r="A80" s="35" t="s">
        <v>150</v>
      </c>
      <c r="B80" s="59" t="s">
        <v>633</v>
      </c>
      <c r="C80" s="60"/>
      <c r="D80" s="60"/>
      <c r="E80" s="60"/>
      <c r="F80" s="61"/>
      <c r="G80" s="222">
        <v>12746</v>
      </c>
      <c r="H80" s="368">
        <f>12746+6101+2196+2196+50767</f>
        <v>74006</v>
      </c>
      <c r="I80" s="525">
        <f>2195.675*4+8783+6587</f>
        <v>24152.7</v>
      </c>
      <c r="J80" s="525"/>
      <c r="K80" s="63"/>
      <c r="L80" s="64"/>
      <c r="M80" s="64"/>
      <c r="N80" s="64"/>
      <c r="O80" s="65"/>
      <c r="P80" s="63"/>
      <c r="Q80" s="64"/>
      <c r="R80" s="64"/>
      <c r="S80" s="64"/>
      <c r="T80" s="65"/>
      <c r="U80" s="63"/>
      <c r="V80" s="64"/>
      <c r="W80" s="65"/>
      <c r="X80" s="62"/>
      <c r="Y80" s="63"/>
      <c r="Z80" s="66"/>
      <c r="AA80" s="67">
        <f>SUM(J80)</f>
        <v>0</v>
      </c>
      <c r="AB80" s="68">
        <f>AA80+G80+2210</f>
        <v>14956</v>
      </c>
    </row>
    <row r="81" spans="1:27" s="68" customFormat="1" ht="15.75">
      <c r="A81" s="35" t="s">
        <v>151</v>
      </c>
      <c r="B81" s="59" t="s">
        <v>286</v>
      </c>
      <c r="C81" s="60"/>
      <c r="D81" s="60"/>
      <c r="E81" s="69"/>
      <c r="F81" s="61">
        <v>250</v>
      </c>
      <c r="G81" s="222">
        <v>14228</v>
      </c>
      <c r="H81" s="363">
        <f>2804+200</f>
        <v>3004</v>
      </c>
      <c r="I81" s="526">
        <v>86.321</v>
      </c>
      <c r="J81" s="526"/>
      <c r="K81" s="63"/>
      <c r="L81" s="64"/>
      <c r="M81" s="64"/>
      <c r="N81" s="64"/>
      <c r="O81" s="65"/>
      <c r="P81" s="63"/>
      <c r="Q81" s="64"/>
      <c r="R81" s="64"/>
      <c r="S81" s="64"/>
      <c r="T81" s="65"/>
      <c r="U81" s="63"/>
      <c r="V81" s="64"/>
      <c r="W81" s="65"/>
      <c r="X81" s="62"/>
      <c r="Y81" s="63"/>
      <c r="Z81" s="66"/>
      <c r="AA81" s="67">
        <f>SUM(J81)</f>
        <v>0</v>
      </c>
    </row>
    <row r="82" spans="1:27" s="87" customFormat="1" ht="15.75">
      <c r="A82" s="35"/>
      <c r="B82" s="57"/>
      <c r="C82" s="69"/>
      <c r="D82" s="69"/>
      <c r="E82" s="69"/>
      <c r="F82" s="61"/>
      <c r="G82" s="222"/>
      <c r="H82" s="363"/>
      <c r="I82" s="61"/>
      <c r="J82" s="65"/>
      <c r="K82" s="63"/>
      <c r="L82" s="64"/>
      <c r="M82" s="64"/>
      <c r="N82" s="64"/>
      <c r="O82" s="65"/>
      <c r="P82" s="63"/>
      <c r="Q82" s="64"/>
      <c r="R82" s="64"/>
      <c r="S82" s="64"/>
      <c r="T82" s="65"/>
      <c r="U82" s="63"/>
      <c r="V82" s="64"/>
      <c r="W82" s="65"/>
      <c r="X82" s="62"/>
      <c r="Y82" s="63"/>
      <c r="Z82" s="66"/>
      <c r="AA82" s="58"/>
    </row>
    <row r="83" spans="1:27" s="87" customFormat="1" ht="15.75">
      <c r="A83" s="35"/>
      <c r="B83" s="59"/>
      <c r="C83" s="69"/>
      <c r="D83" s="69"/>
      <c r="E83" s="69"/>
      <c r="F83" s="61"/>
      <c r="G83" s="224"/>
      <c r="H83" s="363"/>
      <c r="I83" s="61"/>
      <c r="J83" s="65"/>
      <c r="K83" s="63"/>
      <c r="L83" s="64"/>
      <c r="M83" s="64"/>
      <c r="N83" s="64"/>
      <c r="O83" s="65"/>
      <c r="P83" s="63"/>
      <c r="Q83" s="64"/>
      <c r="R83" s="64"/>
      <c r="S83" s="64"/>
      <c r="T83" s="65"/>
      <c r="U83" s="63"/>
      <c r="V83" s="64"/>
      <c r="W83" s="65"/>
      <c r="X83" s="62"/>
      <c r="Y83" s="63"/>
      <c r="Z83" s="66"/>
      <c r="AA83" s="58"/>
    </row>
    <row r="84" spans="1:27" s="96" customFormat="1" ht="22.5">
      <c r="A84" s="35" t="s">
        <v>152</v>
      </c>
      <c r="B84" s="88" t="s">
        <v>317</v>
      </c>
      <c r="C84" s="89">
        <f>SUM(C73,C78)</f>
        <v>151901.646</v>
      </c>
      <c r="D84" s="89"/>
      <c r="E84" s="89"/>
      <c r="F84" s="90"/>
      <c r="G84" s="219"/>
      <c r="H84" s="362"/>
      <c r="I84" s="90"/>
      <c r="J84" s="109"/>
      <c r="K84" s="93"/>
      <c r="L84" s="91"/>
      <c r="M84" s="91"/>
      <c r="N84" s="91"/>
      <c r="O84" s="92"/>
      <c r="P84" s="93"/>
      <c r="Q84" s="91"/>
      <c r="R84" s="91"/>
      <c r="S84" s="91"/>
      <c r="T84" s="92"/>
      <c r="U84" s="93"/>
      <c r="V84" s="91"/>
      <c r="W84" s="92"/>
      <c r="X84" s="109"/>
      <c r="Y84" s="93"/>
      <c r="Z84" s="94"/>
      <c r="AA84" s="95"/>
    </row>
    <row r="85" spans="1:28" s="47" customFormat="1" ht="18.75">
      <c r="A85" s="35" t="s">
        <v>153</v>
      </c>
      <c r="B85" s="36" t="s">
        <v>472</v>
      </c>
      <c r="C85" s="38"/>
      <c r="D85" s="38">
        <f>SUM(D75,D80)</f>
        <v>0</v>
      </c>
      <c r="E85" s="38"/>
      <c r="F85" s="49">
        <f aca="true" t="shared" si="3" ref="F85:K86">SUM(F75,F80)</f>
        <v>0</v>
      </c>
      <c r="G85" s="229">
        <f t="shared" si="3"/>
        <v>24984</v>
      </c>
      <c r="H85" s="359">
        <f t="shared" si="3"/>
        <v>89310</v>
      </c>
      <c r="I85" s="49">
        <f t="shared" si="3"/>
        <v>35397.7</v>
      </c>
      <c r="J85" s="50">
        <f t="shared" si="3"/>
        <v>0</v>
      </c>
      <c r="K85" s="51">
        <f t="shared" si="3"/>
        <v>0</v>
      </c>
      <c r="L85" s="52"/>
      <c r="M85" s="52"/>
      <c r="N85" s="52"/>
      <c r="O85" s="53"/>
      <c r="P85" s="51"/>
      <c r="Q85" s="52"/>
      <c r="R85" s="52"/>
      <c r="S85" s="52"/>
      <c r="T85" s="53"/>
      <c r="U85" s="51"/>
      <c r="V85" s="52"/>
      <c r="W85" s="53"/>
      <c r="X85" s="50"/>
      <c r="Y85" s="51"/>
      <c r="Z85" s="54"/>
      <c r="AA85" s="55">
        <f>SUM(J85)</f>
        <v>0</v>
      </c>
      <c r="AB85" s="47">
        <f>SUM(AA75,AA80)</f>
        <v>0</v>
      </c>
    </row>
    <row r="86" spans="1:28" s="47" customFormat="1" ht="18.75">
      <c r="A86" s="35" t="s">
        <v>154</v>
      </c>
      <c r="B86" s="36" t="s">
        <v>476</v>
      </c>
      <c r="C86" s="38"/>
      <c r="D86" s="38">
        <f>SUM(D76,D81)</f>
        <v>0</v>
      </c>
      <c r="E86" s="38"/>
      <c r="F86" s="49">
        <f t="shared" si="3"/>
        <v>250</v>
      </c>
      <c r="G86" s="229">
        <f t="shared" si="3"/>
        <v>20349</v>
      </c>
      <c r="H86" s="359">
        <f t="shared" si="3"/>
        <v>4069</v>
      </c>
      <c r="I86" s="49">
        <f t="shared" si="3"/>
        <v>123.84299999999999</v>
      </c>
      <c r="J86" s="50">
        <f t="shared" si="3"/>
        <v>0</v>
      </c>
      <c r="K86" s="51">
        <f t="shared" si="3"/>
        <v>0</v>
      </c>
      <c r="L86" s="52"/>
      <c r="M86" s="52"/>
      <c r="N86" s="52"/>
      <c r="O86" s="53"/>
      <c r="P86" s="51"/>
      <c r="Q86" s="52"/>
      <c r="R86" s="52"/>
      <c r="S86" s="52"/>
      <c r="T86" s="53"/>
      <c r="U86" s="51"/>
      <c r="V86" s="52"/>
      <c r="W86" s="53"/>
      <c r="X86" s="50"/>
      <c r="Y86" s="51"/>
      <c r="Z86" s="54"/>
      <c r="AA86" s="55">
        <f>SUM(J86)</f>
        <v>0</v>
      </c>
      <c r="AB86" s="47">
        <f>SUM(AA76,AA81)</f>
        <v>0</v>
      </c>
    </row>
    <row r="87" spans="1:27" s="47" customFormat="1" ht="19.5" thickBot="1">
      <c r="A87" s="97"/>
      <c r="B87" s="98"/>
      <c r="C87" s="99"/>
      <c r="D87" s="99"/>
      <c r="E87" s="99"/>
      <c r="F87" s="100"/>
      <c r="G87" s="232"/>
      <c r="H87" s="370"/>
      <c r="I87" s="371"/>
      <c r="J87" s="102"/>
      <c r="K87" s="103"/>
      <c r="L87" s="101"/>
      <c r="M87" s="101"/>
      <c r="N87" s="101"/>
      <c r="O87" s="105"/>
      <c r="P87" s="103"/>
      <c r="Q87" s="101"/>
      <c r="R87" s="101"/>
      <c r="S87" s="101"/>
      <c r="T87" s="105"/>
      <c r="U87" s="103"/>
      <c r="V87" s="101"/>
      <c r="W87" s="105"/>
      <c r="X87" s="102"/>
      <c r="Y87" s="103"/>
      <c r="Z87" s="104"/>
      <c r="AA87" s="106"/>
    </row>
    <row r="88" spans="1:27" s="110" customFormat="1" ht="60.75" customHeight="1">
      <c r="A88" s="107" t="s">
        <v>155</v>
      </c>
      <c r="B88" s="108" t="s">
        <v>425</v>
      </c>
      <c r="C88" s="89"/>
      <c r="D88" s="89"/>
      <c r="E88" s="89"/>
      <c r="F88" s="90"/>
      <c r="G88" s="219"/>
      <c r="H88" s="362"/>
      <c r="I88" s="90"/>
      <c r="J88" s="92"/>
      <c r="K88" s="93"/>
      <c r="L88" s="91"/>
      <c r="M88" s="91"/>
      <c r="N88" s="91"/>
      <c r="O88" s="92"/>
      <c r="P88" s="93"/>
      <c r="Q88" s="91"/>
      <c r="R88" s="91"/>
      <c r="S88" s="91"/>
      <c r="T88" s="92"/>
      <c r="U88" s="93"/>
      <c r="V88" s="91"/>
      <c r="W88" s="92"/>
      <c r="X88" s="109"/>
      <c r="Y88" s="93"/>
      <c r="Z88" s="94"/>
      <c r="AA88" s="95"/>
    </row>
    <row r="89" spans="1:27" s="110" customFormat="1" ht="27.75" customHeight="1">
      <c r="A89" s="35" t="s">
        <v>156</v>
      </c>
      <c r="B89" s="111" t="s">
        <v>318</v>
      </c>
      <c r="C89" s="89"/>
      <c r="D89" s="89"/>
      <c r="E89" s="89"/>
      <c r="F89" s="90"/>
      <c r="G89" s="219"/>
      <c r="H89" s="362"/>
      <c r="I89" s="90"/>
      <c r="J89" s="92"/>
      <c r="K89" s="93"/>
      <c r="L89" s="91"/>
      <c r="M89" s="91"/>
      <c r="N89" s="91"/>
      <c r="O89" s="92"/>
      <c r="P89" s="93"/>
      <c r="Q89" s="91"/>
      <c r="R89" s="91"/>
      <c r="S89" s="91"/>
      <c r="T89" s="92"/>
      <c r="U89" s="93"/>
      <c r="V89" s="91"/>
      <c r="W89" s="92"/>
      <c r="X89" s="109"/>
      <c r="Y89" s="93"/>
      <c r="Z89" s="94"/>
      <c r="AA89" s="95"/>
    </row>
    <row r="90" spans="1:27" s="110" customFormat="1" ht="22.5">
      <c r="A90" s="35"/>
      <c r="B90" s="112"/>
      <c r="C90" s="89"/>
      <c r="D90" s="89"/>
      <c r="E90" s="89"/>
      <c r="F90" s="90"/>
      <c r="G90" s="219"/>
      <c r="H90" s="362"/>
      <c r="I90" s="90"/>
      <c r="J90" s="92"/>
      <c r="K90" s="93"/>
      <c r="L90" s="91"/>
      <c r="M90" s="91"/>
      <c r="N90" s="91"/>
      <c r="O90" s="92"/>
      <c r="P90" s="93"/>
      <c r="Q90" s="91"/>
      <c r="R90" s="91"/>
      <c r="S90" s="91"/>
      <c r="T90" s="92"/>
      <c r="U90" s="93"/>
      <c r="V90" s="91"/>
      <c r="W90" s="92"/>
      <c r="X90" s="109"/>
      <c r="Y90" s="93"/>
      <c r="Z90" s="94"/>
      <c r="AA90" s="95"/>
    </row>
    <row r="91" spans="1:27" s="122" customFormat="1" ht="23.25">
      <c r="A91" s="35" t="s">
        <v>157</v>
      </c>
      <c r="B91" s="113" t="s">
        <v>538</v>
      </c>
      <c r="C91" s="372">
        <v>32010243</v>
      </c>
      <c r="D91" s="114"/>
      <c r="E91" s="114"/>
      <c r="F91" s="115"/>
      <c r="G91" s="233"/>
      <c r="H91" s="373"/>
      <c r="I91" s="115"/>
      <c r="J91" s="119"/>
      <c r="K91" s="118"/>
      <c r="L91" s="116"/>
      <c r="M91" s="116"/>
      <c r="N91" s="116"/>
      <c r="O91" s="119"/>
      <c r="P91" s="118"/>
      <c r="Q91" s="116"/>
      <c r="R91" s="116"/>
      <c r="S91" s="116"/>
      <c r="T91" s="119"/>
      <c r="U91" s="118"/>
      <c r="V91" s="116"/>
      <c r="W91" s="119"/>
      <c r="X91" s="117"/>
      <c r="Y91" s="118"/>
      <c r="Z91" s="120"/>
      <c r="AA91" s="121"/>
    </row>
    <row r="92" spans="1:27" s="122" customFormat="1" ht="23.25">
      <c r="A92" s="35" t="s">
        <v>158</v>
      </c>
      <c r="B92" s="113" t="s">
        <v>242</v>
      </c>
      <c r="C92" s="372">
        <v>-11341210.94</v>
      </c>
      <c r="D92" s="114"/>
      <c r="E92" s="114"/>
      <c r="F92" s="115"/>
      <c r="G92" s="233"/>
      <c r="H92" s="374">
        <v>11341210.94</v>
      </c>
      <c r="I92" s="115"/>
      <c r="J92" s="119"/>
      <c r="K92" s="118"/>
      <c r="L92" s="116"/>
      <c r="M92" s="116"/>
      <c r="N92" s="116"/>
      <c r="O92" s="119"/>
      <c r="P92" s="118"/>
      <c r="Q92" s="116"/>
      <c r="R92" s="116"/>
      <c r="S92" s="116"/>
      <c r="T92" s="119"/>
      <c r="U92" s="118"/>
      <c r="V92" s="116"/>
      <c r="W92" s="119"/>
      <c r="X92" s="117"/>
      <c r="Y92" s="118"/>
      <c r="Z92" s="120"/>
      <c r="AA92" s="126"/>
    </row>
    <row r="93" spans="1:27" s="122" customFormat="1" ht="23.25">
      <c r="A93" s="35"/>
      <c r="B93" s="113"/>
      <c r="C93" s="372"/>
      <c r="D93" s="114"/>
      <c r="E93" s="114"/>
      <c r="F93" s="115"/>
      <c r="G93" s="233"/>
      <c r="H93" s="374"/>
      <c r="I93" s="115"/>
      <c r="J93" s="119"/>
      <c r="K93" s="118"/>
      <c r="L93" s="116"/>
      <c r="M93" s="116"/>
      <c r="N93" s="116"/>
      <c r="O93" s="119"/>
      <c r="P93" s="118"/>
      <c r="Q93" s="116"/>
      <c r="R93" s="116"/>
      <c r="S93" s="116"/>
      <c r="T93" s="119"/>
      <c r="U93" s="118"/>
      <c r="V93" s="116"/>
      <c r="W93" s="119"/>
      <c r="X93" s="117"/>
      <c r="Y93" s="118"/>
      <c r="Z93" s="120"/>
      <c r="AA93" s="126"/>
    </row>
    <row r="94" spans="1:27" s="122" customFormat="1" ht="23.25">
      <c r="A94" s="35" t="s">
        <v>159</v>
      </c>
      <c r="B94" s="113" t="s">
        <v>673</v>
      </c>
      <c r="C94" s="372">
        <v>13565015.47</v>
      </c>
      <c r="D94" s="114"/>
      <c r="E94" s="114"/>
      <c r="F94" s="115"/>
      <c r="G94" s="233"/>
      <c r="H94" s="374"/>
      <c r="I94" s="115"/>
      <c r="J94" s="119"/>
      <c r="K94" s="118"/>
      <c r="L94" s="116"/>
      <c r="M94" s="116"/>
      <c r="N94" s="116"/>
      <c r="O94" s="119"/>
      <c r="P94" s="118"/>
      <c r="Q94" s="116"/>
      <c r="R94" s="116"/>
      <c r="S94" s="116"/>
      <c r="T94" s="119"/>
      <c r="U94" s="118"/>
      <c r="V94" s="116"/>
      <c r="W94" s="119"/>
      <c r="X94" s="117"/>
      <c r="Y94" s="118"/>
      <c r="Z94" s="120"/>
      <c r="AA94" s="126"/>
    </row>
    <row r="95" spans="1:27" s="122" customFormat="1" ht="23.25">
      <c r="A95" s="35" t="s">
        <v>160</v>
      </c>
      <c r="B95" s="113" t="s">
        <v>674</v>
      </c>
      <c r="C95" s="372">
        <v>-13113300.45</v>
      </c>
      <c r="D95" s="114"/>
      <c r="E95" s="114"/>
      <c r="F95" s="115"/>
      <c r="G95" s="233"/>
      <c r="H95" s="374"/>
      <c r="I95" s="527">
        <v>13113300.45</v>
      </c>
      <c r="J95" s="119"/>
      <c r="K95" s="118"/>
      <c r="L95" s="116"/>
      <c r="M95" s="116"/>
      <c r="N95" s="116"/>
      <c r="O95" s="119"/>
      <c r="P95" s="118"/>
      <c r="Q95" s="116"/>
      <c r="R95" s="116"/>
      <c r="S95" s="116"/>
      <c r="T95" s="119"/>
      <c r="U95" s="118"/>
      <c r="V95" s="116"/>
      <c r="W95" s="119"/>
      <c r="X95" s="117"/>
      <c r="Y95" s="118"/>
      <c r="Z95" s="120"/>
      <c r="AA95" s="126">
        <f>SUM(J95)</f>
        <v>0</v>
      </c>
    </row>
    <row r="96" spans="1:27" s="122" customFormat="1" ht="23.25">
      <c r="A96" s="35" t="s">
        <v>161</v>
      </c>
      <c r="B96" s="113" t="s">
        <v>675</v>
      </c>
      <c r="C96" s="372"/>
      <c r="D96" s="114"/>
      <c r="E96" s="114"/>
      <c r="F96" s="115"/>
      <c r="G96" s="233"/>
      <c r="H96" s="374"/>
      <c r="I96" s="527">
        <v>52818.92</v>
      </c>
      <c r="J96" s="119"/>
      <c r="K96" s="118"/>
      <c r="L96" s="116"/>
      <c r="M96" s="116"/>
      <c r="N96" s="116"/>
      <c r="O96" s="119"/>
      <c r="P96" s="118"/>
      <c r="Q96" s="116"/>
      <c r="R96" s="116"/>
      <c r="S96" s="116"/>
      <c r="T96" s="119"/>
      <c r="U96" s="118"/>
      <c r="V96" s="116"/>
      <c r="W96" s="119"/>
      <c r="X96" s="117"/>
      <c r="Y96" s="118"/>
      <c r="Z96" s="120"/>
      <c r="AA96" s="126">
        <f>SUM(J96)</f>
        <v>0</v>
      </c>
    </row>
    <row r="97" spans="1:27" s="122" customFormat="1" ht="23.25">
      <c r="A97" s="35"/>
      <c r="B97" s="113"/>
      <c r="C97" s="372"/>
      <c r="D97" s="114"/>
      <c r="E97" s="114"/>
      <c r="F97" s="115"/>
      <c r="G97" s="233"/>
      <c r="H97" s="373"/>
      <c r="I97" s="115"/>
      <c r="J97" s="119"/>
      <c r="K97" s="118"/>
      <c r="L97" s="116"/>
      <c r="M97" s="116"/>
      <c r="N97" s="116"/>
      <c r="O97" s="119"/>
      <c r="P97" s="118"/>
      <c r="Q97" s="116"/>
      <c r="R97" s="116"/>
      <c r="S97" s="116"/>
      <c r="T97" s="119"/>
      <c r="U97" s="118"/>
      <c r="V97" s="116"/>
      <c r="W97" s="119"/>
      <c r="X97" s="117"/>
      <c r="Y97" s="118"/>
      <c r="Z97" s="120"/>
      <c r="AA97" s="126"/>
    </row>
    <row r="98" spans="1:27" s="110" customFormat="1" ht="22.5">
      <c r="A98" s="35" t="s">
        <v>162</v>
      </c>
      <c r="B98" s="123" t="s">
        <v>463</v>
      </c>
      <c r="C98" s="89">
        <v>5000000</v>
      </c>
      <c r="D98" s="89"/>
      <c r="E98" s="89"/>
      <c r="F98" s="90"/>
      <c r="G98" s="219"/>
      <c r="H98" s="362"/>
      <c r="I98" s="90"/>
      <c r="J98" s="92"/>
      <c r="K98" s="93"/>
      <c r="L98" s="91"/>
      <c r="M98" s="91"/>
      <c r="N98" s="91"/>
      <c r="O98" s="92"/>
      <c r="P98" s="93"/>
      <c r="Q98" s="91"/>
      <c r="R98" s="91"/>
      <c r="S98" s="91"/>
      <c r="T98" s="92"/>
      <c r="U98" s="93"/>
      <c r="V98" s="91"/>
      <c r="W98" s="92"/>
      <c r="X98" s="109"/>
      <c r="Y98" s="93"/>
      <c r="Z98" s="94"/>
      <c r="AA98" s="126"/>
    </row>
    <row r="99" spans="1:30" s="127" customFormat="1" ht="33.75" customHeight="1">
      <c r="A99" s="35" t="s">
        <v>380</v>
      </c>
      <c r="B99" s="124" t="s">
        <v>243</v>
      </c>
      <c r="C99" s="125"/>
      <c r="D99" s="125"/>
      <c r="E99" s="125"/>
      <c r="F99" s="71">
        <f>914578+914212.55</f>
        <v>1828790.55</v>
      </c>
      <c r="G99" s="225">
        <f>914212.55*2</f>
        <v>1828425.1</v>
      </c>
      <c r="H99" s="365">
        <f>914212.55+536050.21</f>
        <v>1450262.76</v>
      </c>
      <c r="I99" s="71"/>
      <c r="J99" s="72"/>
      <c r="K99" s="73"/>
      <c r="L99" s="74"/>
      <c r="M99" s="74"/>
      <c r="N99" s="74"/>
      <c r="O99" s="75"/>
      <c r="P99" s="73"/>
      <c r="Q99" s="74"/>
      <c r="R99" s="74"/>
      <c r="S99" s="74"/>
      <c r="T99" s="75"/>
      <c r="U99" s="73"/>
      <c r="V99" s="74"/>
      <c r="W99" s="75"/>
      <c r="X99" s="72"/>
      <c r="Y99" s="73"/>
      <c r="Z99" s="71"/>
      <c r="AA99" s="126"/>
      <c r="AB99" s="127">
        <f>AA92+AA99+AD99</f>
        <v>3657215.6500000004</v>
      </c>
      <c r="AC99" s="127">
        <f>32010243-AB99</f>
        <v>28353027.35</v>
      </c>
      <c r="AD99" s="127">
        <f>SUM(E99:G99)</f>
        <v>3657215.6500000004</v>
      </c>
    </row>
    <row r="100" spans="1:27" s="127" customFormat="1" ht="18.75">
      <c r="A100" s="35" t="s">
        <v>381</v>
      </c>
      <c r="B100" s="124" t="s">
        <v>539</v>
      </c>
      <c r="C100" s="125"/>
      <c r="D100" s="125">
        <f>429284.04+190305.34</f>
        <v>619589.38</v>
      </c>
      <c r="E100" s="125"/>
      <c r="F100" s="71">
        <f>155969.91+153323.23</f>
        <v>309293.14</v>
      </c>
      <c r="G100" s="225">
        <f>129629.44+149575.2</f>
        <v>279204.64</v>
      </c>
      <c r="H100" s="365">
        <f>116984.59+32959.84</f>
        <v>149944.43</v>
      </c>
      <c r="I100" s="71"/>
      <c r="J100" s="75"/>
      <c r="K100" s="73"/>
      <c r="L100" s="74"/>
      <c r="M100" s="74"/>
      <c r="N100" s="74"/>
      <c r="O100" s="75"/>
      <c r="P100" s="73"/>
      <c r="Q100" s="74"/>
      <c r="R100" s="74"/>
      <c r="S100" s="74"/>
      <c r="T100" s="75"/>
      <c r="U100" s="73"/>
      <c r="V100" s="74"/>
      <c r="W100" s="75"/>
      <c r="X100" s="72"/>
      <c r="Y100" s="73"/>
      <c r="Z100" s="76"/>
      <c r="AA100" s="126"/>
    </row>
    <row r="101" spans="1:29" s="127" customFormat="1" ht="40.5" customHeight="1">
      <c r="A101" s="35" t="s">
        <v>163</v>
      </c>
      <c r="B101" s="124" t="s">
        <v>244</v>
      </c>
      <c r="C101" s="125"/>
      <c r="D101" s="125"/>
      <c r="E101" s="125"/>
      <c r="F101" s="71"/>
      <c r="G101" s="225"/>
      <c r="H101" s="365">
        <v>451715.02</v>
      </c>
      <c r="I101" s="528"/>
      <c r="J101" s="72"/>
      <c r="K101" s="73"/>
      <c r="L101" s="74"/>
      <c r="M101" s="74"/>
      <c r="N101" s="74"/>
      <c r="O101" s="75"/>
      <c r="P101" s="73"/>
      <c r="Q101" s="74"/>
      <c r="R101" s="74"/>
      <c r="S101" s="74"/>
      <c r="T101" s="75"/>
      <c r="U101" s="73"/>
      <c r="V101" s="74"/>
      <c r="W101" s="75"/>
      <c r="X101" s="72"/>
      <c r="Y101" s="73"/>
      <c r="Z101" s="76"/>
      <c r="AA101" s="126"/>
      <c r="AC101" s="375" t="s">
        <v>245</v>
      </c>
    </row>
    <row r="102" spans="1:29" s="127" customFormat="1" ht="18.75">
      <c r="A102" s="35" t="s">
        <v>118</v>
      </c>
      <c r="B102" s="124" t="s">
        <v>246</v>
      </c>
      <c r="C102" s="125"/>
      <c r="D102" s="125"/>
      <c r="E102" s="125"/>
      <c r="F102" s="71"/>
      <c r="G102" s="225"/>
      <c r="H102" s="365">
        <v>7955.88</v>
      </c>
      <c r="I102" s="528"/>
      <c r="J102" s="75"/>
      <c r="K102" s="73"/>
      <c r="L102" s="74"/>
      <c r="M102" s="74"/>
      <c r="N102" s="74"/>
      <c r="O102" s="75"/>
      <c r="P102" s="73"/>
      <c r="Q102" s="74"/>
      <c r="R102" s="74"/>
      <c r="S102" s="74"/>
      <c r="T102" s="75"/>
      <c r="U102" s="73"/>
      <c r="V102" s="74"/>
      <c r="W102" s="75"/>
      <c r="X102" s="72"/>
      <c r="Y102" s="73"/>
      <c r="Z102" s="76"/>
      <c r="AA102" s="126"/>
      <c r="AB102" s="127">
        <f>AA102-H102</f>
        <v>-7955.88</v>
      </c>
      <c r="AC102" s="127">
        <f>AA102-AB102</f>
        <v>7955.88</v>
      </c>
    </row>
    <row r="103" spans="1:27" s="47" customFormat="1" ht="22.5">
      <c r="A103" s="35" t="s">
        <v>119</v>
      </c>
      <c r="B103" s="70"/>
      <c r="C103" s="38"/>
      <c r="D103" s="38"/>
      <c r="E103" s="38"/>
      <c r="F103" s="49"/>
      <c r="G103" s="229"/>
      <c r="H103" s="359"/>
      <c r="I103" s="49"/>
      <c r="J103" s="53"/>
      <c r="K103" s="51"/>
      <c r="L103" s="52"/>
      <c r="M103" s="52"/>
      <c r="N103" s="52"/>
      <c r="O103" s="53"/>
      <c r="P103" s="51"/>
      <c r="Q103" s="52"/>
      <c r="R103" s="52"/>
      <c r="S103" s="52"/>
      <c r="T103" s="53"/>
      <c r="U103" s="51"/>
      <c r="V103" s="52"/>
      <c r="W103" s="53"/>
      <c r="X103" s="50"/>
      <c r="Y103" s="51"/>
      <c r="Z103" s="54"/>
      <c r="AA103" s="95"/>
    </row>
    <row r="104" spans="1:28" s="96" customFormat="1" ht="22.5">
      <c r="A104" s="35" t="s">
        <v>132</v>
      </c>
      <c r="B104" s="88" t="s">
        <v>540</v>
      </c>
      <c r="C104" s="89"/>
      <c r="D104" s="89"/>
      <c r="E104" s="89"/>
      <c r="F104" s="90">
        <f>186756.828+219136.748</f>
        <v>405893.576</v>
      </c>
      <c r="G104" s="219">
        <f>225810.5+215086.787</f>
        <v>440897.287</v>
      </c>
      <c r="H104" s="362">
        <f>(134091604+224146633)/1000</f>
        <v>358238.237</v>
      </c>
      <c r="I104" s="90">
        <f>I95*302.33</f>
        <v>3964544125.0484996</v>
      </c>
      <c r="J104" s="109"/>
      <c r="K104" s="93"/>
      <c r="L104" s="91"/>
      <c r="M104" s="91"/>
      <c r="N104" s="91"/>
      <c r="O104" s="92"/>
      <c r="P104" s="93"/>
      <c r="Q104" s="91"/>
      <c r="R104" s="91"/>
      <c r="S104" s="91"/>
      <c r="T104" s="92"/>
      <c r="U104" s="93"/>
      <c r="V104" s="91"/>
      <c r="W104" s="92"/>
      <c r="X104" s="90"/>
      <c r="Y104" s="90"/>
      <c r="Z104" s="90"/>
      <c r="AA104" s="529">
        <f>SUM(J104)</f>
        <v>0</v>
      </c>
      <c r="AB104" s="96">
        <f>SUM(AA104,AA105)</f>
        <v>0</v>
      </c>
    </row>
    <row r="105" spans="1:27" s="96" customFormat="1" ht="22.5">
      <c r="A105" s="35" t="s">
        <v>133</v>
      </c>
      <c r="B105" s="88" t="s">
        <v>541</v>
      </c>
      <c r="C105" s="89"/>
      <c r="D105" s="89">
        <f>34150+82187</f>
        <v>116337</v>
      </c>
      <c r="E105" s="89"/>
      <c r="F105" s="90">
        <f>31849.056+36751.576</f>
        <v>68600.632</v>
      </c>
      <c r="G105" s="219">
        <f>31545.272+30950.467</f>
        <v>62495.739</v>
      </c>
      <c r="H105" s="362">
        <f>28682.282+16352.405</f>
        <v>45034.687</v>
      </c>
      <c r="I105" s="90">
        <f>I96*302.33</f>
        <v>15968744.0836</v>
      </c>
      <c r="J105" s="109"/>
      <c r="K105" s="93"/>
      <c r="L105" s="91"/>
      <c r="M105" s="91"/>
      <c r="N105" s="91"/>
      <c r="O105" s="92"/>
      <c r="P105" s="93"/>
      <c r="Q105" s="91"/>
      <c r="R105" s="91"/>
      <c r="S105" s="91"/>
      <c r="T105" s="92"/>
      <c r="U105" s="93"/>
      <c r="V105" s="91"/>
      <c r="W105" s="92"/>
      <c r="X105" s="109"/>
      <c r="Y105" s="93"/>
      <c r="Z105" s="90"/>
      <c r="AA105" s="529">
        <f>SUM(J105)</f>
        <v>0</v>
      </c>
    </row>
    <row r="106" spans="1:27" s="47" customFormat="1" ht="18.75" customHeight="1">
      <c r="A106" s="35" t="s">
        <v>134</v>
      </c>
      <c r="B106" s="1351" t="s">
        <v>247</v>
      </c>
      <c r="C106" s="38"/>
      <c r="D106" s="38"/>
      <c r="E106" s="38"/>
      <c r="F106" s="49"/>
      <c r="G106" s="229"/>
      <c r="H106" s="359"/>
      <c r="I106" s="49"/>
      <c r="J106" s="53"/>
      <c r="K106" s="51"/>
      <c r="L106" s="52"/>
      <c r="M106" s="52"/>
      <c r="N106" s="52"/>
      <c r="O106" s="53"/>
      <c r="P106" s="51"/>
      <c r="Q106" s="52"/>
      <c r="R106" s="52"/>
      <c r="S106" s="52"/>
      <c r="T106" s="53"/>
      <c r="U106" s="51"/>
      <c r="V106" s="52"/>
      <c r="W106" s="53"/>
      <c r="X106" s="50"/>
      <c r="Y106" s="51"/>
      <c r="Z106" s="54"/>
      <c r="AA106" s="55"/>
    </row>
    <row r="107" spans="1:27" s="47" customFormat="1" ht="18.75">
      <c r="A107" s="35"/>
      <c r="B107" s="1351"/>
      <c r="C107" s="38"/>
      <c r="D107" s="38"/>
      <c r="E107" s="38"/>
      <c r="F107" s="49"/>
      <c r="G107" s="229"/>
      <c r="H107" s="359"/>
      <c r="I107" s="49"/>
      <c r="J107" s="53"/>
      <c r="K107" s="51"/>
      <c r="L107" s="52"/>
      <c r="M107" s="52"/>
      <c r="N107" s="52"/>
      <c r="O107" s="53"/>
      <c r="P107" s="51"/>
      <c r="Q107" s="52"/>
      <c r="R107" s="52"/>
      <c r="S107" s="52"/>
      <c r="T107" s="53"/>
      <c r="U107" s="51"/>
      <c r="V107" s="52"/>
      <c r="W107" s="53"/>
      <c r="X107" s="50"/>
      <c r="Y107" s="51"/>
      <c r="Z107" s="54"/>
      <c r="AA107" s="55"/>
    </row>
    <row r="108" spans="1:27" s="47" customFormat="1" ht="3" customHeight="1">
      <c r="A108" s="35"/>
      <c r="B108" s="128"/>
      <c r="C108" s="38"/>
      <c r="D108" s="38"/>
      <c r="E108" s="38"/>
      <c r="F108" s="49"/>
      <c r="G108" s="229"/>
      <c r="H108" s="359"/>
      <c r="I108" s="49"/>
      <c r="J108" s="53"/>
      <c r="K108" s="51"/>
      <c r="L108" s="52"/>
      <c r="M108" s="52"/>
      <c r="N108" s="52"/>
      <c r="O108" s="53"/>
      <c r="P108" s="51"/>
      <c r="Q108" s="52"/>
      <c r="R108" s="52"/>
      <c r="S108" s="52"/>
      <c r="T108" s="53"/>
      <c r="U108" s="51"/>
      <c r="V108" s="52"/>
      <c r="W108" s="53"/>
      <c r="X108" s="50"/>
      <c r="Y108" s="51"/>
      <c r="Z108" s="54"/>
      <c r="AA108" s="67"/>
    </row>
    <row r="109" spans="1:27" s="47" customFormat="1" ht="18" customHeight="1" hidden="1">
      <c r="A109" s="35"/>
      <c r="B109" s="56"/>
      <c r="C109" s="38"/>
      <c r="D109" s="38"/>
      <c r="E109" s="38"/>
      <c r="F109" s="49"/>
      <c r="G109" s="229"/>
      <c r="H109" s="359"/>
      <c r="I109" s="49"/>
      <c r="J109" s="53"/>
      <c r="K109" s="51"/>
      <c r="L109" s="52"/>
      <c r="M109" s="52"/>
      <c r="N109" s="52"/>
      <c r="O109" s="53"/>
      <c r="P109" s="51"/>
      <c r="Q109" s="52"/>
      <c r="R109" s="52"/>
      <c r="S109" s="52"/>
      <c r="T109" s="53"/>
      <c r="U109" s="51"/>
      <c r="V109" s="52"/>
      <c r="W109" s="53"/>
      <c r="X109" s="50"/>
      <c r="Y109" s="51"/>
      <c r="Z109" s="54"/>
      <c r="AA109" s="129"/>
    </row>
    <row r="110" spans="1:27" s="137" customFormat="1" ht="18.75" customHeight="1" hidden="1">
      <c r="A110" s="35"/>
      <c r="B110" s="56"/>
      <c r="C110" s="130"/>
      <c r="D110" s="130"/>
      <c r="E110" s="130"/>
      <c r="F110" s="131"/>
      <c r="G110" s="234"/>
      <c r="H110" s="361"/>
      <c r="I110" s="131"/>
      <c r="J110" s="135"/>
      <c r="K110" s="134"/>
      <c r="L110" s="132"/>
      <c r="M110" s="132"/>
      <c r="N110" s="132"/>
      <c r="O110" s="135"/>
      <c r="P110" s="134"/>
      <c r="Q110" s="132"/>
      <c r="R110" s="132"/>
      <c r="S110" s="132"/>
      <c r="T110" s="135"/>
      <c r="U110" s="134"/>
      <c r="V110" s="132"/>
      <c r="W110" s="135"/>
      <c r="X110" s="133"/>
      <c r="Y110" s="134"/>
      <c r="Z110" s="136"/>
      <c r="AA110" s="186"/>
    </row>
    <row r="111" spans="1:27" s="147" customFormat="1" ht="18.75" customHeight="1" hidden="1">
      <c r="A111" s="138"/>
      <c r="B111" s="139"/>
      <c r="C111" s="140"/>
      <c r="D111" s="140"/>
      <c r="E111" s="140"/>
      <c r="F111" s="141"/>
      <c r="G111" s="235"/>
      <c r="H111" s="376"/>
      <c r="I111" s="141"/>
      <c r="J111" s="145"/>
      <c r="K111" s="144"/>
      <c r="L111" s="142"/>
      <c r="M111" s="142"/>
      <c r="N111" s="142"/>
      <c r="O111" s="145"/>
      <c r="P111" s="144"/>
      <c r="Q111" s="142"/>
      <c r="R111" s="142"/>
      <c r="S111" s="142"/>
      <c r="T111" s="145"/>
      <c r="U111" s="144"/>
      <c r="V111" s="142"/>
      <c r="W111" s="145"/>
      <c r="X111" s="143"/>
      <c r="Y111" s="144"/>
      <c r="Z111" s="146"/>
      <c r="AA111" s="55">
        <f>SUM(D111:I111)</f>
        <v>0</v>
      </c>
    </row>
    <row r="112" spans="1:27" s="147" customFormat="1" ht="36" customHeight="1" hidden="1">
      <c r="A112" s="138"/>
      <c r="B112" s="139"/>
      <c r="C112" s="140"/>
      <c r="D112" s="140"/>
      <c r="E112" s="140"/>
      <c r="F112" s="141"/>
      <c r="G112" s="235"/>
      <c r="H112" s="376"/>
      <c r="I112" s="141"/>
      <c r="J112" s="145"/>
      <c r="K112" s="144"/>
      <c r="L112" s="142"/>
      <c r="M112" s="142"/>
      <c r="N112" s="142"/>
      <c r="O112" s="145"/>
      <c r="P112" s="144"/>
      <c r="Q112" s="142"/>
      <c r="R112" s="142"/>
      <c r="S112" s="142"/>
      <c r="T112" s="145"/>
      <c r="U112" s="144"/>
      <c r="V112" s="142"/>
      <c r="W112" s="145"/>
      <c r="X112" s="143"/>
      <c r="Y112" s="144"/>
      <c r="Z112" s="146"/>
      <c r="AA112" s="148"/>
    </row>
    <row r="113" spans="1:27" s="147" customFormat="1" ht="18.75" customHeight="1" hidden="1">
      <c r="A113" s="138"/>
      <c r="B113" s="56"/>
      <c r="C113" s="140"/>
      <c r="D113" s="140"/>
      <c r="E113" s="140"/>
      <c r="F113" s="141"/>
      <c r="G113" s="236"/>
      <c r="H113" s="376"/>
      <c r="I113" s="141"/>
      <c r="J113" s="145"/>
      <c r="K113" s="144"/>
      <c r="L113" s="142"/>
      <c r="M113" s="142"/>
      <c r="N113" s="142"/>
      <c r="O113" s="145"/>
      <c r="P113" s="144"/>
      <c r="Q113" s="142"/>
      <c r="R113" s="142"/>
      <c r="S113" s="142"/>
      <c r="T113" s="145"/>
      <c r="U113" s="144"/>
      <c r="V113" s="142"/>
      <c r="W113" s="145"/>
      <c r="X113" s="143"/>
      <c r="Y113" s="144"/>
      <c r="Z113" s="146"/>
      <c r="AA113" s="148"/>
    </row>
    <row r="114" spans="1:27" s="147" customFormat="1" ht="37.5" customHeight="1" hidden="1">
      <c r="A114" s="138"/>
      <c r="B114" s="139"/>
      <c r="C114" s="149"/>
      <c r="D114" s="149"/>
      <c r="E114" s="149"/>
      <c r="F114" s="150"/>
      <c r="G114" s="169"/>
      <c r="H114" s="377"/>
      <c r="I114" s="150"/>
      <c r="J114" s="154"/>
      <c r="K114" s="152"/>
      <c r="L114" s="153"/>
      <c r="M114" s="153"/>
      <c r="N114" s="153"/>
      <c r="O114" s="154"/>
      <c r="P114" s="152"/>
      <c r="Q114" s="153"/>
      <c r="R114" s="153"/>
      <c r="S114" s="153"/>
      <c r="T114" s="154"/>
      <c r="U114" s="152"/>
      <c r="V114" s="153"/>
      <c r="W114" s="154"/>
      <c r="X114" s="151"/>
      <c r="Y114" s="152"/>
      <c r="Z114" s="18"/>
      <c r="AA114" s="155">
        <f>SUM(D114:F114)</f>
        <v>0</v>
      </c>
    </row>
    <row r="115" spans="1:27" s="147" customFormat="1" ht="25.5" customHeight="1" hidden="1">
      <c r="A115" s="138"/>
      <c r="B115" s="139"/>
      <c r="C115" s="149"/>
      <c r="D115" s="140"/>
      <c r="E115" s="140"/>
      <c r="F115" s="141"/>
      <c r="G115" s="236"/>
      <c r="H115" s="376"/>
      <c r="I115" s="141"/>
      <c r="J115" s="145"/>
      <c r="K115" s="144"/>
      <c r="L115" s="142"/>
      <c r="M115" s="142"/>
      <c r="N115" s="142"/>
      <c r="O115" s="145"/>
      <c r="P115" s="144"/>
      <c r="Q115" s="142"/>
      <c r="R115" s="142"/>
      <c r="S115" s="142"/>
      <c r="T115" s="145"/>
      <c r="U115" s="144"/>
      <c r="V115" s="142"/>
      <c r="W115" s="145"/>
      <c r="X115" s="143"/>
      <c r="Y115" s="144"/>
      <c r="Z115" s="146"/>
      <c r="AA115" s="55">
        <f>SUM(D115:I115)</f>
        <v>0</v>
      </c>
    </row>
    <row r="116" spans="1:27" s="158" customFormat="1" ht="11.25" customHeight="1" thickBot="1">
      <c r="A116" s="156"/>
      <c r="B116" s="157"/>
      <c r="C116" s="140"/>
      <c r="D116" s="140"/>
      <c r="E116" s="140"/>
      <c r="F116" s="141"/>
      <c r="G116" s="236"/>
      <c r="H116" s="376"/>
      <c r="I116" s="141"/>
      <c r="J116" s="145"/>
      <c r="K116" s="144"/>
      <c r="L116" s="142"/>
      <c r="M116" s="142"/>
      <c r="N116" s="142"/>
      <c r="O116" s="145"/>
      <c r="P116" s="144"/>
      <c r="Q116" s="142"/>
      <c r="R116" s="142"/>
      <c r="S116" s="142"/>
      <c r="T116" s="145"/>
      <c r="U116" s="144"/>
      <c r="V116" s="142"/>
      <c r="W116" s="145"/>
      <c r="X116" s="143"/>
      <c r="Y116" s="144"/>
      <c r="Z116" s="146"/>
      <c r="AA116" s="148"/>
    </row>
    <row r="117" spans="1:27" s="169" customFormat="1" ht="4.5" customHeight="1">
      <c r="A117" s="159"/>
      <c r="B117" s="160"/>
      <c r="C117" s="161"/>
      <c r="D117" s="161"/>
      <c r="E117" s="161"/>
      <c r="F117" s="162"/>
      <c r="G117" s="167"/>
      <c r="H117" s="161"/>
      <c r="I117" s="162"/>
      <c r="J117" s="166"/>
      <c r="K117" s="164"/>
      <c r="L117" s="165"/>
      <c r="M117" s="165"/>
      <c r="N117" s="165"/>
      <c r="O117" s="166"/>
      <c r="P117" s="164"/>
      <c r="Q117" s="165"/>
      <c r="R117" s="165"/>
      <c r="S117" s="165"/>
      <c r="T117" s="166"/>
      <c r="U117" s="164"/>
      <c r="V117" s="165"/>
      <c r="W117" s="166"/>
      <c r="X117" s="163"/>
      <c r="Y117" s="164"/>
      <c r="Z117" s="167"/>
      <c r="AA117" s="168"/>
    </row>
    <row r="118" spans="1:29" s="178" customFormat="1" ht="39" customHeight="1">
      <c r="A118" s="170" t="s">
        <v>164</v>
      </c>
      <c r="B118" s="171" t="s">
        <v>676</v>
      </c>
      <c r="C118" s="172"/>
      <c r="D118" s="172">
        <f>SUM(D54,D70)</f>
        <v>15045</v>
      </c>
      <c r="E118" s="172"/>
      <c r="F118" s="173">
        <f aca="true" t="shared" si="4" ref="F118:Z118">SUM(F105,F15)</f>
        <v>79267.632</v>
      </c>
      <c r="G118" s="237">
        <f t="shared" si="4"/>
        <v>89237.739</v>
      </c>
      <c r="H118" s="172">
        <f t="shared" si="4"/>
        <v>51774.687</v>
      </c>
      <c r="I118" s="173">
        <f>SUM(I105,I15)</f>
        <v>15973440.1906</v>
      </c>
      <c r="J118" s="175">
        <f t="shared" si="4"/>
        <v>0</v>
      </c>
      <c r="K118" s="176">
        <f t="shared" si="4"/>
        <v>0</v>
      </c>
      <c r="L118" s="174">
        <f t="shared" si="4"/>
        <v>0</v>
      </c>
      <c r="M118" s="174">
        <f t="shared" si="4"/>
        <v>0</v>
      </c>
      <c r="N118" s="174">
        <f t="shared" si="4"/>
        <v>0</v>
      </c>
      <c r="O118" s="175">
        <f t="shared" si="4"/>
        <v>0</v>
      </c>
      <c r="P118" s="176">
        <f t="shared" si="4"/>
        <v>0</v>
      </c>
      <c r="Q118" s="174">
        <f t="shared" si="4"/>
        <v>0</v>
      </c>
      <c r="R118" s="174">
        <f t="shared" si="4"/>
        <v>0</v>
      </c>
      <c r="S118" s="174">
        <f t="shared" si="4"/>
        <v>0</v>
      </c>
      <c r="T118" s="175">
        <f t="shared" si="4"/>
        <v>0</v>
      </c>
      <c r="U118" s="176">
        <f t="shared" si="4"/>
        <v>0</v>
      </c>
      <c r="V118" s="174">
        <f t="shared" si="4"/>
        <v>0</v>
      </c>
      <c r="W118" s="175">
        <f t="shared" si="4"/>
        <v>0</v>
      </c>
      <c r="X118" s="238">
        <f t="shared" si="4"/>
        <v>0</v>
      </c>
      <c r="Y118" s="176">
        <f t="shared" si="4"/>
        <v>0</v>
      </c>
      <c r="Z118" s="174">
        <f t="shared" si="4"/>
        <v>0</v>
      </c>
      <c r="AA118" s="177">
        <f>SUM(AA54,AA70)+AA105+AA86</f>
        <v>0</v>
      </c>
      <c r="AB118" s="178">
        <f>SUM(H118:W118)</f>
        <v>16025214.877600001</v>
      </c>
      <c r="AC118" s="178">
        <f>AA118-AB118</f>
        <v>-16025214.877600001</v>
      </c>
    </row>
    <row r="119" spans="1:29" s="213" customFormat="1" ht="53.25" customHeight="1" thickBot="1">
      <c r="A119" s="205" t="s">
        <v>428</v>
      </c>
      <c r="B119" s="206" t="s">
        <v>677</v>
      </c>
      <c r="C119" s="207"/>
      <c r="D119" s="207">
        <f>SUM(D53,D69)</f>
        <v>166832</v>
      </c>
      <c r="E119" s="207"/>
      <c r="F119" s="208">
        <f aca="true" t="shared" si="5" ref="F119:Z119">SUM(F104,F14)</f>
        <v>559427.576</v>
      </c>
      <c r="G119" s="239">
        <f t="shared" si="5"/>
        <v>567955.287</v>
      </c>
      <c r="H119" s="207">
        <f t="shared" si="5"/>
        <v>578349.237</v>
      </c>
      <c r="I119" s="208">
        <f>SUM(I104,I14)</f>
        <v>3965164485.8485</v>
      </c>
      <c r="J119" s="210">
        <f t="shared" si="5"/>
        <v>0</v>
      </c>
      <c r="K119" s="211">
        <f t="shared" si="5"/>
        <v>0</v>
      </c>
      <c r="L119" s="209">
        <f t="shared" si="5"/>
        <v>0</v>
      </c>
      <c r="M119" s="209">
        <f t="shared" si="5"/>
        <v>0</v>
      </c>
      <c r="N119" s="209">
        <f t="shared" si="5"/>
        <v>0</v>
      </c>
      <c r="O119" s="210">
        <f t="shared" si="5"/>
        <v>0</v>
      </c>
      <c r="P119" s="211">
        <f t="shared" si="5"/>
        <v>0</v>
      </c>
      <c r="Q119" s="209">
        <f t="shared" si="5"/>
        <v>0</v>
      </c>
      <c r="R119" s="209">
        <f t="shared" si="5"/>
        <v>0</v>
      </c>
      <c r="S119" s="209">
        <f t="shared" si="5"/>
        <v>0</v>
      </c>
      <c r="T119" s="210">
        <f t="shared" si="5"/>
        <v>0</v>
      </c>
      <c r="U119" s="211">
        <f t="shared" si="5"/>
        <v>0</v>
      </c>
      <c r="V119" s="209">
        <f t="shared" si="5"/>
        <v>0</v>
      </c>
      <c r="W119" s="210">
        <f t="shared" si="5"/>
        <v>0</v>
      </c>
      <c r="X119" s="240">
        <f t="shared" si="5"/>
        <v>0</v>
      </c>
      <c r="Y119" s="211">
        <f t="shared" si="5"/>
        <v>0</v>
      </c>
      <c r="Z119" s="209">
        <f t="shared" si="5"/>
        <v>0</v>
      </c>
      <c r="AA119" s="212">
        <f>SUM(AA53,AA69)+AA104+AA85</f>
        <v>0</v>
      </c>
      <c r="AB119" s="178">
        <f>SUM(H119:W119)</f>
        <v>3965742835.0855</v>
      </c>
      <c r="AC119" s="178">
        <f>AA119-AB119</f>
        <v>-3965742835.0855</v>
      </c>
    </row>
    <row r="120" spans="1:29" s="381" customFormat="1" ht="57" customHeight="1">
      <c r="A120" s="378"/>
      <c r="B120" s="379"/>
      <c r="C120" s="1352"/>
      <c r="D120" s="1352"/>
      <c r="E120" s="1352"/>
      <c r="F120" s="1352"/>
      <c r="G120" s="1352"/>
      <c r="H120" s="1352"/>
      <c r="I120" s="1352"/>
      <c r="J120" s="1352"/>
      <c r="K120" s="379"/>
      <c r="L120" s="379"/>
      <c r="M120" s="379"/>
      <c r="N120" s="379"/>
      <c r="O120" s="379"/>
      <c r="P120" s="379"/>
      <c r="Q120" s="379"/>
      <c r="R120" s="379"/>
      <c r="S120" s="379"/>
      <c r="T120" s="379"/>
      <c r="U120" s="1352"/>
      <c r="V120" s="1352"/>
      <c r="W120" s="1352"/>
      <c r="X120" s="1352"/>
      <c r="Y120" s="1352"/>
      <c r="Z120" s="1352"/>
      <c r="AA120" s="1352"/>
      <c r="AB120" s="380"/>
      <c r="AC120" s="380"/>
    </row>
    <row r="121" spans="3:29" s="382" customFormat="1" ht="27.75" customHeight="1">
      <c r="C121" s="1353"/>
      <c r="D121" s="1353"/>
      <c r="E121" s="1353"/>
      <c r="F121" s="1353"/>
      <c r="G121" s="1353"/>
      <c r="H121" s="1353"/>
      <c r="I121" s="1353"/>
      <c r="J121" s="1353"/>
      <c r="U121" s="1353"/>
      <c r="V121" s="1353"/>
      <c r="W121" s="1353"/>
      <c r="X121" s="1353"/>
      <c r="Y121" s="1353"/>
      <c r="Z121" s="1353"/>
      <c r="AA121" s="1353"/>
      <c r="AB121" s="383"/>
      <c r="AC121" s="383"/>
    </row>
    <row r="122" spans="3:27" s="383" customFormat="1" ht="84" customHeight="1">
      <c r="C122" s="1353"/>
      <c r="D122" s="1353"/>
      <c r="E122" s="1353"/>
      <c r="F122" s="1353"/>
      <c r="G122" s="1353"/>
      <c r="H122" s="1353"/>
      <c r="I122" s="1353"/>
      <c r="J122" s="1353"/>
      <c r="U122" s="1353"/>
      <c r="V122" s="1353"/>
      <c r="W122" s="1353"/>
      <c r="X122" s="1353"/>
      <c r="Y122" s="1353"/>
      <c r="Z122" s="1353"/>
      <c r="AA122" s="1353"/>
    </row>
    <row r="123" ht="15.75" customHeight="1" hidden="1"/>
    <row r="124" ht="15.75" customHeight="1" hidden="1">
      <c r="AA124" s="1">
        <f>SUM(AA115,AA111,AA108,AA103,AA69,AA29)</f>
        <v>0</v>
      </c>
    </row>
    <row r="125" spans="1:27" s="9" customFormat="1" ht="42.75" customHeight="1" hidden="1">
      <c r="A125" s="14"/>
      <c r="B125" s="2" t="s">
        <v>382</v>
      </c>
      <c r="C125" s="2"/>
      <c r="D125" s="2">
        <f aca="true" t="shared" si="6" ref="D125:J125">SUM(D108,D103,D69,D22)</f>
        <v>0</v>
      </c>
      <c r="E125" s="2">
        <f t="shared" si="6"/>
        <v>0</v>
      </c>
      <c r="F125" s="2">
        <f t="shared" si="6"/>
        <v>84200</v>
      </c>
      <c r="G125" s="2">
        <f t="shared" si="6"/>
        <v>72000</v>
      </c>
      <c r="H125" s="2">
        <f t="shared" si="6"/>
        <v>126039</v>
      </c>
      <c r="I125" s="2">
        <f t="shared" si="6"/>
        <v>34800</v>
      </c>
      <c r="J125" s="2">
        <f t="shared" si="6"/>
        <v>0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15"/>
      <c r="X125" s="15"/>
      <c r="Y125" s="15"/>
      <c r="Z125" s="2"/>
      <c r="AA125" s="2">
        <f>SUM(D125:I125)</f>
        <v>317039</v>
      </c>
    </row>
    <row r="126" spans="1:27" s="9" customFormat="1" ht="42" customHeight="1" hidden="1">
      <c r="A126" s="14"/>
      <c r="B126" s="2" t="s">
        <v>383</v>
      </c>
      <c r="C126" s="2"/>
      <c r="D126" s="2">
        <f>(11900929+7625314+853527+3253930)/1000+3493</f>
        <v>27126.7</v>
      </c>
      <c r="E126" s="2">
        <f>(6087961+3910613+437727+1668766)/1000+2591</f>
        <v>14696.067</v>
      </c>
      <c r="F126" s="2">
        <f>(871406+559750+62654+238860)/1000+1689</f>
        <v>3421.67</v>
      </c>
      <c r="G126" s="2">
        <v>787</v>
      </c>
      <c r="H126" s="2">
        <v>56</v>
      </c>
      <c r="I126" s="2">
        <v>56</v>
      </c>
      <c r="J126" s="2">
        <v>56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15"/>
      <c r="X126" s="15"/>
      <c r="Y126" s="15"/>
      <c r="Z126" s="2"/>
      <c r="AA126" s="2">
        <f>SUM(D126:I126)</f>
        <v>46143.437</v>
      </c>
    </row>
    <row r="127" ht="15.75" customHeight="1" hidden="1">
      <c r="AA127" s="1">
        <f>(46586859+29905888+3347463+12761661+20716082)/1000</f>
        <v>113317.953</v>
      </c>
    </row>
    <row r="128" spans="1:27" s="11" customFormat="1" ht="24" customHeight="1" hidden="1">
      <c r="A128" s="14"/>
      <c r="B128" s="3"/>
      <c r="C128" s="3"/>
      <c r="D128" s="3">
        <f aca="true" t="shared" si="7" ref="D128:J128">SUM(D125:D126)</f>
        <v>27126.7</v>
      </c>
      <c r="E128" s="3">
        <f t="shared" si="7"/>
        <v>14696.067</v>
      </c>
      <c r="F128" s="3">
        <f t="shared" si="7"/>
        <v>87621.67</v>
      </c>
      <c r="G128" s="3">
        <f t="shared" si="7"/>
        <v>72787</v>
      </c>
      <c r="H128" s="3">
        <f t="shared" si="7"/>
        <v>126095</v>
      </c>
      <c r="I128" s="3">
        <f t="shared" si="7"/>
        <v>34856</v>
      </c>
      <c r="J128" s="3">
        <f t="shared" si="7"/>
        <v>56</v>
      </c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6"/>
      <c r="X128" s="16"/>
      <c r="Y128" s="16"/>
      <c r="Z128" s="3"/>
      <c r="AA128" s="3">
        <f>SUM(AA125:AA126)</f>
        <v>363182.437</v>
      </c>
    </row>
    <row r="129" ht="15.75" customHeight="1" hidden="1"/>
    <row r="130" ht="15.75" customHeight="1" hidden="1"/>
    <row r="131" spans="1:27" s="13" customFormat="1" ht="39.75" customHeight="1" hidden="1">
      <c r="A131" s="14"/>
      <c r="B131" s="4" t="s">
        <v>116</v>
      </c>
      <c r="C131" s="4"/>
      <c r="D131" s="4">
        <f>D119+D126+5000</f>
        <v>198958.7</v>
      </c>
      <c r="E131" s="4">
        <f aca="true" t="shared" si="8" ref="E131:J131">E119+E126</f>
        <v>14696.067</v>
      </c>
      <c r="F131" s="4">
        <f t="shared" si="8"/>
        <v>562849.246</v>
      </c>
      <c r="G131" s="4">
        <f t="shared" si="8"/>
        <v>568742.287</v>
      </c>
      <c r="H131" s="4">
        <f t="shared" si="8"/>
        <v>578405.237</v>
      </c>
      <c r="I131" s="4">
        <f t="shared" si="8"/>
        <v>3965164541.8485</v>
      </c>
      <c r="J131" s="4">
        <f t="shared" si="8"/>
        <v>56</v>
      </c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7"/>
      <c r="X131" s="17"/>
      <c r="Y131" s="17"/>
      <c r="Z131" s="4"/>
      <c r="AA131" s="4">
        <f>AA119+AA126</f>
        <v>46143.437</v>
      </c>
    </row>
    <row r="132" spans="3:7" ht="15.75">
      <c r="C132" s="530">
        <v>302.33</v>
      </c>
      <c r="G132" s="1">
        <f>SUM(G85,G69,G53)</f>
        <v>127058</v>
      </c>
    </row>
    <row r="133" spans="7:29" ht="15.75">
      <c r="G133" s="1">
        <f>G132-G14</f>
        <v>0</v>
      </c>
      <c r="AA133" s="1">
        <f>AA118+AA119</f>
        <v>0</v>
      </c>
      <c r="AB133" s="7">
        <f>SUM(AB104,AB14,AB15)</f>
        <v>0</v>
      </c>
      <c r="AC133" s="7">
        <f>AA133-AB133</f>
        <v>0</v>
      </c>
    </row>
    <row r="134" ht="15.75">
      <c r="AA134" s="1">
        <f>SUM(I118:Z119)</f>
        <v>3981137926.0390997</v>
      </c>
    </row>
    <row r="135" spans="3:27" ht="15.75">
      <c r="C135" s="1">
        <f>SUM(C98,C68,C52)+C84</f>
        <v>6119103.737999999</v>
      </c>
      <c r="AA135" s="1">
        <f>SUM(I22:Z28,I32:Z38,I41:Z50,I58:Z66,I103:Z105,I75:Z83)</f>
        <v>3981137926.039099</v>
      </c>
    </row>
    <row r="136" spans="3:27" ht="15.75">
      <c r="C136" s="1">
        <f>SUM(C98,C13)</f>
        <v>6119103.738</v>
      </c>
      <c r="E136" s="1">
        <f>SUM(D118:H118)</f>
        <v>235325.058</v>
      </c>
      <c r="AA136" s="1">
        <f>AA134-AA135</f>
        <v>0</v>
      </c>
    </row>
    <row r="137" spans="3:6" ht="15.75">
      <c r="C137" s="1">
        <f>SUM(C25,C33,C58,C63,C73,C78,C98)</f>
        <v>6119103.738</v>
      </c>
      <c r="E137" s="1">
        <f>SUM(D119:H119)</f>
        <v>1872564.0999999999</v>
      </c>
      <c r="F137" s="1">
        <f>SUM(E119:H119)</f>
        <v>1705732.0999999999</v>
      </c>
    </row>
  </sheetData>
  <sheetProtection/>
  <mergeCells count="4">
    <mergeCell ref="A3:AA3"/>
    <mergeCell ref="B106:B107"/>
    <mergeCell ref="C120:J122"/>
    <mergeCell ref="U120:AA122"/>
  </mergeCells>
  <printOptions horizontalCentered="1"/>
  <pageMargins left="0.4330708661417323" right="0.5118110236220472" top="0.5511811023622047" bottom="0.15748031496062992" header="0.2755905511811024" footer="0.31496062992125984"/>
  <pageSetup horizontalDpi="300" verticalDpi="300" orientation="portrait" paperSize="9" scale="37" r:id="rId1"/>
  <rowBreaks count="1" manualBreakCount="1">
    <brk id="122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5"/>
  <sheetViews>
    <sheetView view="pageBreakPreview" zoomScale="125" zoomScaleSheetLayoutView="125" zoomScalePageLayoutView="0" workbookViewId="0" topLeftCell="A1">
      <selection activeCell="A1" sqref="A1"/>
    </sheetView>
  </sheetViews>
  <sheetFormatPr defaultColWidth="9.00390625" defaultRowHeight="12.75"/>
  <cols>
    <col min="1" max="1" width="3.625" style="1182" customWidth="1"/>
    <col min="2" max="2" width="78.00390625" style="550" customWidth="1"/>
    <col min="3" max="3" width="34.50390625" style="1183" customWidth="1"/>
    <col min="4" max="4" width="28.875" style="1184" customWidth="1"/>
    <col min="5" max="5" width="21.875" style="1185" hidden="1" customWidth="1"/>
    <col min="6" max="6" width="23.875" style="1185" customWidth="1"/>
    <col min="7" max="7" width="22.50390625" style="1186" customWidth="1"/>
    <col min="8" max="8" width="23.00390625" style="1187" customWidth="1"/>
    <col min="9" max="9" width="23.00390625" style="1188" customWidth="1"/>
    <col min="10" max="10" width="9.375" style="550" customWidth="1"/>
    <col min="11" max="12" width="9.375" style="551" customWidth="1"/>
    <col min="13" max="16384" width="9.375" style="550" customWidth="1"/>
  </cols>
  <sheetData>
    <row r="1" ht="15" customHeight="1"/>
    <row r="2" spans="1:12" s="1189" customFormat="1" ht="25.5">
      <c r="A2" s="1356" t="s">
        <v>343</v>
      </c>
      <c r="B2" s="1356"/>
      <c r="C2" s="1356"/>
      <c r="D2" s="1356"/>
      <c r="E2" s="1356"/>
      <c r="F2" s="1356"/>
      <c r="G2" s="1356"/>
      <c r="H2" s="1356"/>
      <c r="I2" s="1356"/>
      <c r="K2" s="1190"/>
      <c r="L2" s="1190"/>
    </row>
    <row r="3" spans="1:12" s="1189" customFormat="1" ht="21.75" customHeight="1">
      <c r="A3" s="1357" t="s">
        <v>648</v>
      </c>
      <c r="B3" s="1357"/>
      <c r="C3" s="1357"/>
      <c r="D3" s="1357"/>
      <c r="E3" s="1357"/>
      <c r="F3" s="1357"/>
      <c r="G3" s="1357"/>
      <c r="H3" s="1357"/>
      <c r="I3" s="1357"/>
      <c r="K3" s="1190"/>
      <c r="L3" s="1190"/>
    </row>
    <row r="4" spans="1:12" s="1193" customFormat="1" ht="21.75">
      <c r="A4" s="1182"/>
      <c r="B4" s="1355"/>
      <c r="C4" s="1355"/>
      <c r="D4" s="1355"/>
      <c r="E4" s="1355"/>
      <c r="F4" s="1355"/>
      <c r="G4" s="1355"/>
      <c r="H4" s="1191"/>
      <c r="I4" s="1192"/>
      <c r="K4" s="1194"/>
      <c r="L4" s="1194"/>
    </row>
    <row r="6" spans="1:12" s="565" customFormat="1" ht="17.25" customHeight="1" thickBot="1">
      <c r="A6" s="1195"/>
      <c r="C6" s="1196"/>
      <c r="D6" s="1197"/>
      <c r="E6" s="1198"/>
      <c r="F6" s="1354"/>
      <c r="G6" s="1354"/>
      <c r="H6" s="1354" t="s">
        <v>364</v>
      </c>
      <c r="I6" s="1354"/>
      <c r="K6" s="564"/>
      <c r="L6" s="564"/>
    </row>
    <row r="7" spans="1:12" s="1195" customFormat="1" ht="16.5" customHeight="1" thickBot="1">
      <c r="A7" s="1199"/>
      <c r="B7" s="1200" t="s">
        <v>138</v>
      </c>
      <c r="C7" s="1201" t="s">
        <v>139</v>
      </c>
      <c r="D7" s="1202" t="s">
        <v>140</v>
      </c>
      <c r="E7" s="1202"/>
      <c r="F7" s="1202" t="s">
        <v>141</v>
      </c>
      <c r="G7" s="1202" t="s">
        <v>427</v>
      </c>
      <c r="H7" s="1202" t="s">
        <v>322</v>
      </c>
      <c r="I7" s="1203" t="s">
        <v>323</v>
      </c>
      <c r="K7" s="1204"/>
      <c r="L7" s="1204"/>
    </row>
    <row r="8" spans="1:12" s="1211" customFormat="1" ht="40.5" customHeight="1" thickBot="1">
      <c r="A8" s="1205"/>
      <c r="B8" s="1206" t="s">
        <v>392</v>
      </c>
      <c r="C8" s="1207" t="s">
        <v>173</v>
      </c>
      <c r="D8" s="1208" t="s">
        <v>277</v>
      </c>
      <c r="E8" s="1208" t="s">
        <v>117</v>
      </c>
      <c r="F8" s="1209" t="s">
        <v>313</v>
      </c>
      <c r="G8" s="1209" t="s">
        <v>263</v>
      </c>
      <c r="H8" s="1209" t="s">
        <v>264</v>
      </c>
      <c r="I8" s="1210" t="s">
        <v>682</v>
      </c>
      <c r="K8" s="1212"/>
      <c r="L8" s="1212"/>
    </row>
    <row r="9" spans="1:12" s="538" customFormat="1" ht="12.75">
      <c r="A9" s="490"/>
      <c r="B9" s="553"/>
      <c r="C9" s="554"/>
      <c r="D9" s="555"/>
      <c r="E9" s="556"/>
      <c r="F9" s="556"/>
      <c r="G9" s="556"/>
      <c r="H9" s="556"/>
      <c r="I9" s="557"/>
      <c r="K9" s="537"/>
      <c r="L9" s="537"/>
    </row>
    <row r="10" spans="1:12" s="538" customFormat="1" ht="12.75">
      <c r="A10" s="490" t="s">
        <v>464</v>
      </c>
      <c r="B10" s="392" t="s">
        <v>332</v>
      </c>
      <c r="C10" s="393"/>
      <c r="D10" s="534"/>
      <c r="E10" s="535"/>
      <c r="F10" s="535"/>
      <c r="G10" s="535"/>
      <c r="H10" s="535"/>
      <c r="I10" s="536"/>
      <c r="J10" s="535"/>
      <c r="K10" s="537"/>
      <c r="L10" s="537"/>
    </row>
    <row r="11" spans="1:12" s="538" customFormat="1" ht="12.75">
      <c r="A11" s="490" t="s">
        <v>562</v>
      </c>
      <c r="B11" s="532" t="s">
        <v>360</v>
      </c>
      <c r="C11" s="533" t="s">
        <v>362</v>
      </c>
      <c r="D11" s="534" t="s">
        <v>359</v>
      </c>
      <c r="E11" s="535"/>
      <c r="F11" s="535">
        <f>450000*1.27</f>
        <v>571500</v>
      </c>
      <c r="G11" s="535"/>
      <c r="H11" s="535"/>
      <c r="I11" s="536"/>
      <c r="J11" s="535"/>
      <c r="K11" s="537"/>
      <c r="L11" s="537"/>
    </row>
    <row r="12" spans="1:12" s="538" customFormat="1" ht="12.75">
      <c r="A12" s="490" t="s">
        <v>563</v>
      </c>
      <c r="B12" s="532" t="s">
        <v>361</v>
      </c>
      <c r="C12" s="533" t="s">
        <v>363</v>
      </c>
      <c r="D12" s="534" t="s">
        <v>359</v>
      </c>
      <c r="E12" s="535"/>
      <c r="F12" s="535">
        <f>300000*1.27</f>
        <v>381000</v>
      </c>
      <c r="G12" s="535"/>
      <c r="H12" s="535"/>
      <c r="I12" s="536"/>
      <c r="J12" s="535"/>
      <c r="K12" s="537"/>
      <c r="L12" s="537"/>
    </row>
    <row r="13" spans="1:12" s="538" customFormat="1" ht="12.75">
      <c r="A13" s="490"/>
      <c r="B13" s="532"/>
      <c r="C13" s="533"/>
      <c r="D13" s="534"/>
      <c r="E13" s="535"/>
      <c r="F13" s="535"/>
      <c r="G13" s="535"/>
      <c r="H13" s="535"/>
      <c r="I13" s="536"/>
      <c r="J13" s="535"/>
      <c r="K13" s="537"/>
      <c r="L13" s="537"/>
    </row>
    <row r="14" spans="1:12" s="538" customFormat="1" ht="12.75">
      <c r="A14" s="490" t="s">
        <v>564</v>
      </c>
      <c r="B14" s="241" t="s">
        <v>353</v>
      </c>
      <c r="C14" s="533"/>
      <c r="D14" s="534"/>
      <c r="E14" s="535"/>
      <c r="F14" s="535"/>
      <c r="G14" s="535"/>
      <c r="H14" s="535"/>
      <c r="I14" s="536"/>
      <c r="J14" s="535"/>
      <c r="K14" s="537"/>
      <c r="L14" s="537"/>
    </row>
    <row r="15" spans="1:12" s="538" customFormat="1" ht="38.25">
      <c r="A15" s="490" t="s">
        <v>565</v>
      </c>
      <c r="B15" s="532" t="s">
        <v>312</v>
      </c>
      <c r="C15" s="533" t="s">
        <v>314</v>
      </c>
      <c r="D15" s="534" t="s">
        <v>387</v>
      </c>
      <c r="E15" s="535"/>
      <c r="F15" s="391" t="s">
        <v>699</v>
      </c>
      <c r="G15" s="535"/>
      <c r="H15" s="535"/>
      <c r="I15" s="536"/>
      <c r="J15" s="535"/>
      <c r="K15" s="537"/>
      <c r="L15" s="537"/>
    </row>
    <row r="16" spans="1:12" s="538" customFormat="1" ht="12.75">
      <c r="A16" s="490"/>
      <c r="B16" s="532"/>
      <c r="C16" s="533"/>
      <c r="D16" s="534"/>
      <c r="E16" s="535"/>
      <c r="F16" s="391"/>
      <c r="G16" s="535"/>
      <c r="H16" s="535"/>
      <c r="I16" s="536"/>
      <c r="J16" s="535"/>
      <c r="K16" s="537"/>
      <c r="L16" s="537"/>
    </row>
    <row r="17" spans="1:12" s="538" customFormat="1" ht="12.75">
      <c r="A17" s="490" t="s">
        <v>566</v>
      </c>
      <c r="B17" s="241" t="s">
        <v>305</v>
      </c>
      <c r="C17" s="533"/>
      <c r="D17" s="534"/>
      <c r="E17" s="535"/>
      <c r="F17" s="535"/>
      <c r="G17" s="535"/>
      <c r="H17" s="535"/>
      <c r="I17" s="536"/>
      <c r="J17" s="535"/>
      <c r="K17" s="537"/>
      <c r="L17" s="537"/>
    </row>
    <row r="18" spans="1:12" s="538" customFormat="1" ht="12.75">
      <c r="A18" s="490" t="s">
        <v>567</v>
      </c>
      <c r="B18" s="532" t="s">
        <v>849</v>
      </c>
      <c r="C18" s="533" t="s">
        <v>851</v>
      </c>
      <c r="D18" s="534" t="s">
        <v>850</v>
      </c>
      <c r="E18" s="535"/>
      <c r="F18" s="535">
        <v>25546</v>
      </c>
      <c r="G18" s="535">
        <v>25546</v>
      </c>
      <c r="H18" s="535">
        <v>25546</v>
      </c>
      <c r="I18" s="536">
        <v>25546</v>
      </c>
      <c r="J18" s="535"/>
      <c r="K18" s="537"/>
      <c r="L18" s="537"/>
    </row>
    <row r="19" spans="1:12" s="538" customFormat="1" ht="12.75">
      <c r="A19" s="490"/>
      <c r="B19" s="532"/>
      <c r="C19" s="533"/>
      <c r="D19" s="534"/>
      <c r="E19" s="535"/>
      <c r="F19" s="535"/>
      <c r="G19" s="535"/>
      <c r="H19" s="535"/>
      <c r="I19" s="536"/>
      <c r="J19" s="535"/>
      <c r="K19" s="537"/>
      <c r="L19" s="537"/>
    </row>
    <row r="20" spans="1:12" s="390" customFormat="1" ht="12.75">
      <c r="A20" s="490" t="s">
        <v>590</v>
      </c>
      <c r="B20" s="241" t="s">
        <v>416</v>
      </c>
      <c r="C20" s="533"/>
      <c r="D20" s="534"/>
      <c r="E20" s="535"/>
      <c r="F20" s="388"/>
      <c r="G20" s="388"/>
      <c r="H20" s="388"/>
      <c r="I20" s="494"/>
      <c r="J20" s="388"/>
      <c r="K20" s="389"/>
      <c r="L20" s="389"/>
    </row>
    <row r="21" spans="1:12" s="565" customFormat="1" ht="19.5" customHeight="1">
      <c r="A21" s="491" t="s">
        <v>351</v>
      </c>
      <c r="B21" s="559" t="s">
        <v>229</v>
      </c>
      <c r="C21" s="560" t="s">
        <v>231</v>
      </c>
      <c r="D21" s="561" t="s">
        <v>230</v>
      </c>
      <c r="E21" s="562"/>
      <c r="F21" s="391" t="s">
        <v>265</v>
      </c>
      <c r="G21" s="391"/>
      <c r="H21" s="562"/>
      <c r="I21" s="563"/>
      <c r="J21" s="562"/>
      <c r="K21" s="564"/>
      <c r="L21" s="564"/>
    </row>
    <row r="22" spans="1:12" s="390" customFormat="1" ht="12.75">
      <c r="A22" s="490"/>
      <c r="B22" s="241"/>
      <c r="C22" s="533"/>
      <c r="D22" s="1213"/>
      <c r="E22" s="535"/>
      <c r="F22" s="388"/>
      <c r="G22" s="388"/>
      <c r="H22" s="388"/>
      <c r="I22" s="494"/>
      <c r="J22" s="388"/>
      <c r="K22" s="389"/>
      <c r="L22" s="389"/>
    </row>
    <row r="23" spans="1:12" s="390" customFormat="1" ht="12.75">
      <c r="A23" s="490" t="s">
        <v>174</v>
      </c>
      <c r="B23" s="241" t="s">
        <v>700</v>
      </c>
      <c r="C23" s="386" t="s">
        <v>370</v>
      </c>
      <c r="D23" s="387"/>
      <c r="E23" s="388"/>
      <c r="F23" s="388"/>
      <c r="G23" s="388"/>
      <c r="H23" s="388"/>
      <c r="I23" s="494"/>
      <c r="J23" s="388"/>
      <c r="K23" s="389"/>
      <c r="L23" s="389"/>
    </row>
    <row r="24" spans="1:12" s="570" customFormat="1" ht="12.75">
      <c r="A24" s="492" t="s">
        <v>375</v>
      </c>
      <c r="B24" s="532" t="s">
        <v>855</v>
      </c>
      <c r="C24" s="533" t="s">
        <v>233</v>
      </c>
      <c r="D24" s="566" t="s">
        <v>203</v>
      </c>
      <c r="E24" s="567"/>
      <c r="F24" s="567">
        <f>(4224510*12*1.27+5642871*10*1.27)/1000</f>
        <v>136045.99409999998</v>
      </c>
      <c r="G24" s="567">
        <f>(4224510*12*1.27+5642871*10*1.27)/1000/2</f>
        <v>68022.99704999999</v>
      </c>
      <c r="H24" s="567"/>
      <c r="I24" s="568"/>
      <c r="J24" s="567"/>
      <c r="K24" s="569"/>
      <c r="L24" s="569"/>
    </row>
    <row r="25" spans="1:12" s="538" customFormat="1" ht="12.75">
      <c r="A25" s="490" t="s">
        <v>376</v>
      </c>
      <c r="B25" s="532" t="s">
        <v>253</v>
      </c>
      <c r="C25" s="533" t="s">
        <v>254</v>
      </c>
      <c r="D25" s="534" t="s">
        <v>255</v>
      </c>
      <c r="E25" s="535"/>
      <c r="F25" s="535">
        <f>6048*1.27</f>
        <v>7680.96</v>
      </c>
      <c r="G25" s="535">
        <f>6048*1.27</f>
        <v>7680.96</v>
      </c>
      <c r="H25" s="535">
        <f>6048*1.27</f>
        <v>7680.96</v>
      </c>
      <c r="I25" s="536">
        <v>7681</v>
      </c>
      <c r="J25" s="535"/>
      <c r="K25" s="537"/>
      <c r="L25" s="537"/>
    </row>
    <row r="26" spans="1:12" s="538" customFormat="1" ht="12.75">
      <c r="A26" s="490"/>
      <c r="B26" s="532"/>
      <c r="C26" s="533"/>
      <c r="D26" s="534"/>
      <c r="E26" s="535"/>
      <c r="F26" s="535"/>
      <c r="G26" s="535"/>
      <c r="H26" s="535"/>
      <c r="I26" s="536"/>
      <c r="J26" s="535"/>
      <c r="K26" s="537"/>
      <c r="L26" s="537"/>
    </row>
    <row r="27" spans="1:12" s="538" customFormat="1" ht="12.75">
      <c r="A27" s="490" t="s">
        <v>142</v>
      </c>
      <c r="B27" s="385" t="s">
        <v>232</v>
      </c>
      <c r="C27" s="558"/>
      <c r="D27" s="558"/>
      <c r="E27" s="535"/>
      <c r="F27" s="535"/>
      <c r="G27" s="535"/>
      <c r="H27" s="535"/>
      <c r="I27" s="536"/>
      <c r="J27" s="535"/>
      <c r="K27" s="537"/>
      <c r="L27" s="537"/>
    </row>
    <row r="28" spans="1:12" s="538" customFormat="1" ht="16.5" customHeight="1">
      <c r="A28" s="490" t="s">
        <v>377</v>
      </c>
      <c r="B28" s="532" t="s">
        <v>112</v>
      </c>
      <c r="C28" s="533" t="s">
        <v>114</v>
      </c>
      <c r="D28" s="534" t="s">
        <v>113</v>
      </c>
      <c r="E28" s="535"/>
      <c r="F28" s="535">
        <v>20000</v>
      </c>
      <c r="G28" s="535">
        <v>20000</v>
      </c>
      <c r="H28" s="535">
        <v>20000</v>
      </c>
      <c r="I28" s="536">
        <v>20000</v>
      </c>
      <c r="J28" s="535"/>
      <c r="K28" s="537"/>
      <c r="L28" s="537"/>
    </row>
    <row r="29" spans="1:12" s="538" customFormat="1" ht="16.5" customHeight="1">
      <c r="A29" s="490"/>
      <c r="B29" s="532"/>
      <c r="C29" s="533"/>
      <c r="D29" s="534"/>
      <c r="E29" s="535"/>
      <c r="F29" s="535"/>
      <c r="G29" s="535"/>
      <c r="H29" s="535"/>
      <c r="I29" s="536"/>
      <c r="J29" s="535"/>
      <c r="K29" s="537"/>
      <c r="L29" s="537"/>
    </row>
    <row r="30" spans="1:12" s="538" customFormat="1" ht="12.75">
      <c r="A30" s="490" t="s">
        <v>378</v>
      </c>
      <c r="B30" s="241" t="s">
        <v>256</v>
      </c>
      <c r="C30" s="533"/>
      <c r="D30" s="534"/>
      <c r="E30" s="535"/>
      <c r="F30" s="535"/>
      <c r="G30" s="535"/>
      <c r="H30" s="535"/>
      <c r="I30" s="536"/>
      <c r="J30" s="535"/>
      <c r="K30" s="537"/>
      <c r="L30" s="537"/>
    </row>
    <row r="31" spans="1:12" s="538" customFormat="1" ht="12.75">
      <c r="A31" s="490" t="s">
        <v>503</v>
      </c>
      <c r="B31" s="532" t="s">
        <v>257</v>
      </c>
      <c r="C31" s="533" t="s">
        <v>697</v>
      </c>
      <c r="D31" s="534" t="s">
        <v>258</v>
      </c>
      <c r="E31" s="535"/>
      <c r="F31" s="535">
        <v>11500</v>
      </c>
      <c r="G31" s="535">
        <v>11500</v>
      </c>
      <c r="H31" s="535">
        <v>11500</v>
      </c>
      <c r="I31" s="536"/>
      <c r="J31" s="535"/>
      <c r="K31" s="537"/>
      <c r="L31" s="537"/>
    </row>
    <row r="32" spans="1:12" s="538" customFormat="1" ht="12.75">
      <c r="A32" s="490" t="s">
        <v>504</v>
      </c>
      <c r="B32" s="539" t="s">
        <v>683</v>
      </c>
      <c r="C32" s="540" t="s">
        <v>684</v>
      </c>
      <c r="D32" s="541" t="s">
        <v>685</v>
      </c>
      <c r="E32" s="542"/>
      <c r="F32" s="542">
        <v>651</v>
      </c>
      <c r="G32" s="543">
        <v>652</v>
      </c>
      <c r="H32" s="543">
        <v>653</v>
      </c>
      <c r="I32" s="544">
        <v>655</v>
      </c>
      <c r="J32" s="543"/>
      <c r="K32" s="537"/>
      <c r="L32" s="537"/>
    </row>
    <row r="33" spans="1:20" s="538" customFormat="1" ht="16.5" customHeight="1">
      <c r="A33" s="490" t="s">
        <v>505</v>
      </c>
      <c r="B33" s="545" t="s">
        <v>686</v>
      </c>
      <c r="C33" s="531" t="s">
        <v>688</v>
      </c>
      <c r="D33" s="541" t="s">
        <v>687</v>
      </c>
      <c r="E33" s="542"/>
      <c r="F33" s="542">
        <v>6000</v>
      </c>
      <c r="G33" s="542">
        <v>6000</v>
      </c>
      <c r="H33" s="542">
        <v>6000</v>
      </c>
      <c r="I33" s="546">
        <v>6000</v>
      </c>
      <c r="J33" s="542"/>
      <c r="K33" s="547"/>
      <c r="L33" s="547"/>
      <c r="M33" s="548"/>
      <c r="N33" s="548"/>
      <c r="O33" s="548"/>
      <c r="P33" s="548"/>
      <c r="Q33" s="548"/>
      <c r="R33" s="548"/>
      <c r="S33" s="548"/>
      <c r="T33" s="548"/>
    </row>
    <row r="34" spans="1:20" s="538" customFormat="1" ht="16.5" customHeight="1">
      <c r="A34" s="490"/>
      <c r="B34" s="545"/>
      <c r="C34" s="531"/>
      <c r="D34" s="541"/>
      <c r="E34" s="542"/>
      <c r="F34" s="542"/>
      <c r="G34" s="542"/>
      <c r="H34" s="542"/>
      <c r="I34" s="546"/>
      <c r="J34" s="542"/>
      <c r="K34" s="547"/>
      <c r="L34" s="547"/>
      <c r="M34" s="548"/>
      <c r="N34" s="548"/>
      <c r="O34" s="548"/>
      <c r="P34" s="548"/>
      <c r="Q34" s="548"/>
      <c r="R34" s="548"/>
      <c r="S34" s="548"/>
      <c r="T34" s="548"/>
    </row>
    <row r="35" spans="1:12" s="548" customFormat="1" ht="12.75">
      <c r="A35" s="493" t="s">
        <v>143</v>
      </c>
      <c r="B35" s="385" t="s">
        <v>512</v>
      </c>
      <c r="C35" s="531"/>
      <c r="D35" s="541"/>
      <c r="E35" s="542"/>
      <c r="F35" s="542"/>
      <c r="G35" s="542"/>
      <c r="H35" s="542"/>
      <c r="I35" s="546"/>
      <c r="J35" s="542"/>
      <c r="K35" s="547"/>
      <c r="L35" s="547"/>
    </row>
    <row r="36" spans="1:12" s="548" customFormat="1" ht="25.5">
      <c r="A36" s="493" t="s">
        <v>144</v>
      </c>
      <c r="B36" s="545" t="s">
        <v>689</v>
      </c>
      <c r="C36" s="531" t="s">
        <v>695</v>
      </c>
      <c r="D36" s="541" t="s">
        <v>690</v>
      </c>
      <c r="E36" s="542"/>
      <c r="F36" s="542">
        <v>2040</v>
      </c>
      <c r="G36" s="542">
        <v>2040</v>
      </c>
      <c r="H36" s="542">
        <v>2040</v>
      </c>
      <c r="I36" s="546"/>
      <c r="J36" s="542"/>
      <c r="K36" s="547"/>
      <c r="L36" s="547"/>
    </row>
    <row r="37" spans="1:12" s="548" customFormat="1" ht="12.75">
      <c r="A37" s="493" t="s">
        <v>145</v>
      </c>
      <c r="B37" s="545" t="s">
        <v>691</v>
      </c>
      <c r="C37" s="531" t="s">
        <v>696</v>
      </c>
      <c r="D37" s="541" t="s">
        <v>692</v>
      </c>
      <c r="E37" s="542"/>
      <c r="F37" s="542">
        <v>2856</v>
      </c>
      <c r="G37" s="542">
        <v>2856</v>
      </c>
      <c r="H37" s="542">
        <v>2856</v>
      </c>
      <c r="I37" s="546">
        <v>2856</v>
      </c>
      <c r="J37" s="542"/>
      <c r="K37" s="547"/>
      <c r="L37" s="547"/>
    </row>
    <row r="38" spans="1:9" ht="12.75">
      <c r="A38" s="493" t="s">
        <v>146</v>
      </c>
      <c r="B38" s="539" t="s">
        <v>693</v>
      </c>
      <c r="C38" s="540" t="s">
        <v>698</v>
      </c>
      <c r="D38" s="541" t="s">
        <v>694</v>
      </c>
      <c r="E38" s="542"/>
      <c r="F38" s="542">
        <v>120</v>
      </c>
      <c r="G38" s="549"/>
      <c r="H38" s="549"/>
      <c r="I38" s="552"/>
    </row>
    <row r="39" spans="1:12" s="538" customFormat="1" ht="16.5" customHeight="1">
      <c r="A39" s="490"/>
      <c r="B39" s="532"/>
      <c r="C39" s="533"/>
      <c r="D39" s="534"/>
      <c r="E39" s="535"/>
      <c r="F39" s="535"/>
      <c r="G39" s="535"/>
      <c r="H39" s="535"/>
      <c r="I39" s="536"/>
      <c r="J39" s="535"/>
      <c r="K39" s="537"/>
      <c r="L39" s="537"/>
    </row>
    <row r="40" spans="1:12" s="538" customFormat="1" ht="16.5" customHeight="1">
      <c r="A40" s="490" t="s">
        <v>147</v>
      </c>
      <c r="B40" s="241" t="s">
        <v>209</v>
      </c>
      <c r="C40" s="533" t="s">
        <v>208</v>
      </c>
      <c r="D40" s="534" t="s">
        <v>210</v>
      </c>
      <c r="E40" s="535"/>
      <c r="F40" s="535">
        <v>1078378</v>
      </c>
      <c r="G40" s="535">
        <v>1078378</v>
      </c>
      <c r="H40" s="535"/>
      <c r="I40" s="536"/>
      <c r="J40" s="535"/>
      <c r="K40" s="537"/>
      <c r="L40" s="537"/>
    </row>
    <row r="41" spans="1:12" s="565" customFormat="1" ht="47.25" customHeight="1">
      <c r="A41" s="491" t="s">
        <v>148</v>
      </c>
      <c r="B41" s="1053" t="s">
        <v>852</v>
      </c>
      <c r="C41" s="560" t="s">
        <v>853</v>
      </c>
      <c r="D41" s="1054" t="s">
        <v>854</v>
      </c>
      <c r="E41" s="562"/>
      <c r="F41" s="562">
        <f>158000*1.27</f>
        <v>200660</v>
      </c>
      <c r="G41" s="562">
        <f>158000*1.27</f>
        <v>200660</v>
      </c>
      <c r="H41" s="562"/>
      <c r="I41" s="563"/>
      <c r="J41" s="562"/>
      <c r="K41" s="564"/>
      <c r="L41" s="564"/>
    </row>
    <row r="42" spans="1:12" s="548" customFormat="1" ht="21" customHeight="1">
      <c r="A42" s="493" t="s">
        <v>149</v>
      </c>
      <c r="B42" s="1214" t="s">
        <v>259</v>
      </c>
      <c r="C42" s="531"/>
      <c r="D42" s="558"/>
      <c r="E42" s="1186"/>
      <c r="F42" s="1186"/>
      <c r="G42" s="1186"/>
      <c r="H42" s="1186"/>
      <c r="I42" s="1215"/>
      <c r="J42" s="1186"/>
      <c r="K42" s="547"/>
      <c r="L42" s="547"/>
    </row>
    <row r="43" spans="1:12" s="565" customFormat="1" ht="25.5">
      <c r="A43" s="491" t="s">
        <v>379</v>
      </c>
      <c r="B43" s="1216" t="s">
        <v>260</v>
      </c>
      <c r="C43" s="560" t="s">
        <v>261</v>
      </c>
      <c r="D43" s="1217" t="s">
        <v>262</v>
      </c>
      <c r="E43" s="562"/>
      <c r="F43" s="562">
        <v>3600</v>
      </c>
      <c r="G43" s="562">
        <v>3600</v>
      </c>
      <c r="H43" s="562">
        <v>3600</v>
      </c>
      <c r="I43" s="563">
        <v>3600</v>
      </c>
      <c r="J43" s="562"/>
      <c r="K43" s="564"/>
      <c r="L43" s="564"/>
    </row>
    <row r="44" spans="1:9" ht="13.5" thickBot="1">
      <c r="A44" s="493"/>
      <c r="B44" s="539"/>
      <c r="C44" s="540"/>
      <c r="D44" s="558"/>
      <c r="E44" s="1186"/>
      <c r="F44" s="1186"/>
      <c r="G44" s="1187"/>
      <c r="H44" s="1218"/>
      <c r="I44" s="1219"/>
    </row>
    <row r="45" spans="1:12" s="1211" customFormat="1" ht="27.75" customHeight="1" thickBot="1">
      <c r="A45" s="1205" t="s">
        <v>150</v>
      </c>
      <c r="B45" s="1206" t="s">
        <v>358</v>
      </c>
      <c r="C45" s="1220"/>
      <c r="D45" s="1209"/>
      <c r="E45" s="1221">
        <f>SUM(E44:E44)</f>
        <v>0</v>
      </c>
      <c r="F45" s="1221">
        <f>SUM(F9:F44)</f>
        <v>2447577.9540999997</v>
      </c>
      <c r="G45" s="1221">
        <f>SUM(G9:G44)</f>
        <v>1426935.95705</v>
      </c>
      <c r="H45" s="1221">
        <f>SUM(H9:H44)</f>
        <v>79875.95999999999</v>
      </c>
      <c r="I45" s="1222">
        <f>SUM(I9:I44)</f>
        <v>66338</v>
      </c>
      <c r="K45" s="1212"/>
      <c r="L45" s="1212"/>
    </row>
  </sheetData>
  <sheetProtection/>
  <mergeCells count="5">
    <mergeCell ref="F6:G6"/>
    <mergeCell ref="B4:G4"/>
    <mergeCell ref="H6:I6"/>
    <mergeCell ref="A2:I2"/>
    <mergeCell ref="A3:I3"/>
  </mergeCells>
  <printOptions horizontalCentered="1"/>
  <pageMargins left="0.7874015748031497" right="0.7874015748031497" top="1.062992125984252" bottom="0.5905511811023623" header="0.5118110236220472" footer="0.5118110236220472"/>
  <pageSetup fitToHeight="1" fitToWidth="1" horizontalDpi="600" verticalDpi="600" orientation="landscape" paperSize="9" scale="59" r:id="rId1"/>
  <headerFooter alignWithMargins="0">
    <oddHeader>&amp;L&amp;"Times New Roman CE,Félkövér"&amp;16 22. melléklet a 13/2015. (III. 06.)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82"/>
  <sheetViews>
    <sheetView showGridLines="0" view="pageBreakPreview" zoomScale="80" zoomScaleSheetLayoutView="80" zoomScalePageLayoutView="0" workbookViewId="0" topLeftCell="A2">
      <selection activeCell="E13" sqref="E13"/>
    </sheetView>
  </sheetViews>
  <sheetFormatPr defaultColWidth="10.625" defaultRowHeight="12.75"/>
  <cols>
    <col min="1" max="1" width="6.125" style="985" customWidth="1"/>
    <col min="2" max="2" width="55.00390625" style="675" customWidth="1"/>
    <col min="3" max="3" width="56.625" style="675" customWidth="1"/>
    <col min="4" max="4" width="13.50390625" style="675" customWidth="1"/>
    <col min="5" max="5" width="16.125" style="675" customWidth="1"/>
    <col min="6" max="6" width="55.625" style="675" customWidth="1"/>
    <col min="7" max="7" width="12.125" style="986" customWidth="1"/>
    <col min="8" max="8" width="16.625" style="675" customWidth="1"/>
    <col min="9" max="11" width="0" style="675" hidden="1" customWidth="1"/>
    <col min="12" max="12" width="19.50390625" style="675" customWidth="1"/>
    <col min="13" max="16384" width="10.625" style="675" customWidth="1"/>
  </cols>
  <sheetData>
    <row r="1" ht="15.75" hidden="1">
      <c r="K1" s="987" t="s">
        <v>655</v>
      </c>
    </row>
    <row r="2" spans="1:12" s="989" customFormat="1" ht="20.25">
      <c r="A2" s="985"/>
      <c r="B2" s="988" t="s">
        <v>939</v>
      </c>
      <c r="G2" s="990"/>
      <c r="H2" s="1358"/>
      <c r="I2" s="1358"/>
      <c r="J2" s="1358"/>
      <c r="K2" s="1358"/>
      <c r="L2" s="1358"/>
    </row>
    <row r="3" spans="1:12" s="991" customFormat="1" ht="18.75" customHeight="1" hidden="1">
      <c r="A3" s="985"/>
      <c r="B3" s="1359" t="s">
        <v>547</v>
      </c>
      <c r="C3" s="1359"/>
      <c r="D3" s="1359"/>
      <c r="E3" s="1359"/>
      <c r="F3" s="1359"/>
      <c r="G3" s="1359"/>
      <c r="H3" s="1359"/>
      <c r="I3" s="1359"/>
      <c r="J3" s="1359"/>
      <c r="K3" s="1359"/>
      <c r="L3" s="1359"/>
    </row>
    <row r="4" spans="1:12" s="992" customFormat="1" ht="47.25" customHeight="1">
      <c r="A4" s="985"/>
      <c r="B4" s="1360" t="s">
        <v>701</v>
      </c>
      <c r="C4" s="1360"/>
      <c r="D4" s="1360"/>
      <c r="E4" s="1360"/>
      <c r="F4" s="1360"/>
      <c r="G4" s="1360"/>
      <c r="H4" s="1360"/>
      <c r="I4" s="1360"/>
      <c r="J4" s="1360"/>
      <c r="K4" s="1360"/>
      <c r="L4" s="1360"/>
    </row>
    <row r="5" spans="2:6" ht="21" customHeight="1" thickBot="1">
      <c r="B5" s="1364"/>
      <c r="C5" s="1364"/>
      <c r="D5" s="1364"/>
      <c r="E5" s="1364"/>
      <c r="F5" s="985"/>
    </row>
    <row r="6" spans="1:12" s="998" customFormat="1" ht="17.25" customHeight="1" thickBot="1">
      <c r="A6" s="993"/>
      <c r="B6" s="994" t="s">
        <v>138</v>
      </c>
      <c r="C6" s="993" t="s">
        <v>139</v>
      </c>
      <c r="D6" s="994" t="s">
        <v>140</v>
      </c>
      <c r="E6" s="993" t="s">
        <v>141</v>
      </c>
      <c r="F6" s="995" t="s">
        <v>427</v>
      </c>
      <c r="G6" s="996" t="s">
        <v>322</v>
      </c>
      <c r="H6" s="997" t="s">
        <v>323</v>
      </c>
      <c r="I6" s="994"/>
      <c r="J6" s="994"/>
      <c r="K6" s="994"/>
      <c r="L6" s="993" t="s">
        <v>324</v>
      </c>
    </row>
    <row r="7" spans="1:12" s="658" customFormat="1" ht="29.25" customHeight="1">
      <c r="A7" s="999"/>
      <c r="B7" s="1000" t="s">
        <v>414</v>
      </c>
      <c r="C7" s="1365" t="s">
        <v>394</v>
      </c>
      <c r="D7" s="1362"/>
      <c r="E7" s="1366"/>
      <c r="F7" s="1361" t="s">
        <v>395</v>
      </c>
      <c r="G7" s="1362"/>
      <c r="H7" s="1366"/>
      <c r="I7" s="1361" t="s">
        <v>656</v>
      </c>
      <c r="J7" s="1362"/>
      <c r="K7" s="1363"/>
      <c r="L7" s="1001" t="s">
        <v>390</v>
      </c>
    </row>
    <row r="8" spans="1:12" s="1011" customFormat="1" ht="35.25" customHeight="1" thickBot="1">
      <c r="A8" s="1002"/>
      <c r="B8" s="1003" t="s">
        <v>166</v>
      </c>
      <c r="C8" s="1004" t="s">
        <v>169</v>
      </c>
      <c r="D8" s="1005" t="s">
        <v>280</v>
      </c>
      <c r="E8" s="1006" t="s">
        <v>171</v>
      </c>
      <c r="F8" s="1007" t="s">
        <v>169</v>
      </c>
      <c r="G8" s="1008" t="s">
        <v>170</v>
      </c>
      <c r="H8" s="1006" t="s">
        <v>171</v>
      </c>
      <c r="I8" s="1007" t="s">
        <v>169</v>
      </c>
      <c r="J8" s="1005" t="s">
        <v>170</v>
      </c>
      <c r="K8" s="1009" t="s">
        <v>171</v>
      </c>
      <c r="L8" s="1010" t="s">
        <v>369</v>
      </c>
    </row>
    <row r="9" spans="1:12" s="459" customFormat="1" ht="51.75" customHeight="1">
      <c r="A9" s="467" t="s">
        <v>464</v>
      </c>
      <c r="B9" s="466" t="s">
        <v>310</v>
      </c>
      <c r="C9" s="453"/>
      <c r="D9" s="454"/>
      <c r="E9" s="455">
        <f>E10</f>
        <v>84351</v>
      </c>
      <c r="F9" s="454"/>
      <c r="G9" s="456"/>
      <c r="H9" s="455">
        <f>H10</f>
        <v>412962</v>
      </c>
      <c r="I9" s="457"/>
      <c r="J9" s="457"/>
      <c r="K9" s="457"/>
      <c r="L9" s="458">
        <f>L10</f>
        <v>497313</v>
      </c>
    </row>
    <row r="10" spans="1:12" s="478" customFormat="1" ht="28.5" customHeight="1">
      <c r="A10" s="468" t="s">
        <v>562</v>
      </c>
      <c r="B10" s="469" t="s">
        <v>417</v>
      </c>
      <c r="C10" s="474"/>
      <c r="D10" s="475"/>
      <c r="E10" s="470">
        <f>SUM(E11:E32)</f>
        <v>84351</v>
      </c>
      <c r="F10" s="475"/>
      <c r="G10" s="476"/>
      <c r="H10" s="470">
        <f>SUM(H11:H32)</f>
        <v>412962</v>
      </c>
      <c r="I10" s="477"/>
      <c r="J10" s="477"/>
      <c r="K10" s="477"/>
      <c r="L10" s="471">
        <f>SUM(L11:L32)</f>
        <v>497313</v>
      </c>
    </row>
    <row r="11" spans="1:12" s="473" customFormat="1" ht="47.25">
      <c r="A11" s="468" t="s">
        <v>563</v>
      </c>
      <c r="B11" s="479" t="s">
        <v>167</v>
      </c>
      <c r="C11" s="460"/>
      <c r="D11" s="461"/>
      <c r="E11" s="462"/>
      <c r="F11" s="480" t="s">
        <v>649</v>
      </c>
      <c r="G11" s="463" t="s">
        <v>617</v>
      </c>
      <c r="H11" s="462">
        <v>66000</v>
      </c>
      <c r="I11" s="464"/>
      <c r="J11" s="464"/>
      <c r="K11" s="464"/>
      <c r="L11" s="481">
        <f aca="true" t="shared" si="0" ref="L11:L26">SUM(E11,H11)</f>
        <v>66000</v>
      </c>
    </row>
    <row r="12" spans="1:12" s="473" customFormat="1" ht="66" customHeight="1">
      <c r="A12" s="468" t="s">
        <v>564</v>
      </c>
      <c r="B12" s="479" t="s">
        <v>167</v>
      </c>
      <c r="C12" s="465"/>
      <c r="D12" s="461"/>
      <c r="E12" s="482"/>
      <c r="F12" s="480" t="s">
        <v>618</v>
      </c>
      <c r="G12" s="463"/>
      <c r="H12" s="462">
        <v>55</v>
      </c>
      <c r="I12" s="464"/>
      <c r="J12" s="464"/>
      <c r="K12" s="464"/>
      <c r="L12" s="481">
        <f t="shared" si="0"/>
        <v>55</v>
      </c>
    </row>
    <row r="13" spans="1:12" s="473" customFormat="1" ht="53.25" customHeight="1">
      <c r="A13" s="468" t="s">
        <v>565</v>
      </c>
      <c r="B13" s="479" t="s">
        <v>167</v>
      </c>
      <c r="C13" s="465"/>
      <c r="D13" s="461"/>
      <c r="E13" s="482"/>
      <c r="F13" s="480" t="s">
        <v>702</v>
      </c>
      <c r="G13" s="463"/>
      <c r="H13" s="462">
        <v>226000</v>
      </c>
      <c r="I13" s="464"/>
      <c r="J13" s="464"/>
      <c r="K13" s="464"/>
      <c r="L13" s="481">
        <f t="shared" si="0"/>
        <v>226000</v>
      </c>
    </row>
    <row r="14" spans="1:12" s="473" customFormat="1" ht="70.5" customHeight="1">
      <c r="A14" s="468" t="s">
        <v>566</v>
      </c>
      <c r="B14" s="479" t="s">
        <v>167</v>
      </c>
      <c r="C14" s="465"/>
      <c r="D14" s="461"/>
      <c r="E14" s="482"/>
      <c r="F14" s="980" t="s">
        <v>848</v>
      </c>
      <c r="G14" s="981"/>
      <c r="H14" s="982">
        <v>26000</v>
      </c>
      <c r="I14" s="983"/>
      <c r="J14" s="983"/>
      <c r="K14" s="983"/>
      <c r="L14" s="984">
        <f t="shared" si="0"/>
        <v>26000</v>
      </c>
    </row>
    <row r="15" spans="1:12" s="473" customFormat="1" ht="46.5" customHeight="1">
      <c r="A15" s="468" t="s">
        <v>567</v>
      </c>
      <c r="B15" s="479" t="s">
        <v>545</v>
      </c>
      <c r="C15" s="465"/>
      <c r="D15" s="461"/>
      <c r="E15" s="482"/>
      <c r="F15" s="480" t="s">
        <v>619</v>
      </c>
      <c r="G15" s="463">
        <v>25</v>
      </c>
      <c r="H15" s="462">
        <v>5300</v>
      </c>
      <c r="I15" s="464"/>
      <c r="J15" s="464"/>
      <c r="K15" s="464"/>
      <c r="L15" s="481">
        <f t="shared" si="0"/>
        <v>5300</v>
      </c>
    </row>
    <row r="16" spans="1:12" s="473" customFormat="1" ht="49.5" customHeight="1">
      <c r="A16" s="468" t="s">
        <v>590</v>
      </c>
      <c r="B16" s="479" t="s">
        <v>545</v>
      </c>
      <c r="C16" s="465"/>
      <c r="D16" s="461"/>
      <c r="E16" s="482"/>
      <c r="F16" s="480" t="s">
        <v>619</v>
      </c>
      <c r="G16" s="463">
        <v>80</v>
      </c>
      <c r="H16" s="462">
        <v>9242</v>
      </c>
      <c r="I16" s="464"/>
      <c r="J16" s="464"/>
      <c r="K16" s="464"/>
      <c r="L16" s="481">
        <f t="shared" si="0"/>
        <v>9242</v>
      </c>
    </row>
    <row r="17" spans="1:12" s="473" customFormat="1" ht="45.75" customHeight="1">
      <c r="A17" s="468" t="s">
        <v>351</v>
      </c>
      <c r="B17" s="479" t="s">
        <v>496</v>
      </c>
      <c r="C17" s="465"/>
      <c r="D17" s="461"/>
      <c r="E17" s="482"/>
      <c r="F17" s="480" t="s">
        <v>499</v>
      </c>
      <c r="G17" s="463">
        <v>60</v>
      </c>
      <c r="H17" s="462">
        <v>892</v>
      </c>
      <c r="I17" s="464"/>
      <c r="J17" s="464"/>
      <c r="K17" s="464"/>
      <c r="L17" s="481">
        <f t="shared" si="0"/>
        <v>892</v>
      </c>
    </row>
    <row r="18" spans="1:12" s="473" customFormat="1" ht="45.75" customHeight="1">
      <c r="A18" s="468" t="s">
        <v>174</v>
      </c>
      <c r="B18" s="479" t="s">
        <v>627</v>
      </c>
      <c r="C18" s="465"/>
      <c r="D18" s="461"/>
      <c r="E18" s="482"/>
      <c r="F18" s="480" t="s">
        <v>497</v>
      </c>
      <c r="G18" s="463">
        <v>60</v>
      </c>
      <c r="H18" s="462">
        <v>402</v>
      </c>
      <c r="I18" s="464"/>
      <c r="J18" s="464"/>
      <c r="K18" s="464"/>
      <c r="L18" s="481">
        <f t="shared" si="0"/>
        <v>402</v>
      </c>
    </row>
    <row r="19" spans="1:12" s="472" customFormat="1" ht="44.25" customHeight="1">
      <c r="A19" s="468" t="s">
        <v>375</v>
      </c>
      <c r="B19" s="479" t="s">
        <v>498</v>
      </c>
      <c r="C19" s="465"/>
      <c r="D19" s="461"/>
      <c r="E19" s="482"/>
      <c r="F19" s="480" t="s">
        <v>497</v>
      </c>
      <c r="G19" s="463">
        <v>25</v>
      </c>
      <c r="H19" s="462">
        <v>263</v>
      </c>
      <c r="I19" s="464"/>
      <c r="J19" s="464"/>
      <c r="K19" s="464"/>
      <c r="L19" s="481">
        <f t="shared" si="0"/>
        <v>263</v>
      </c>
    </row>
    <row r="20" spans="1:12" s="473" customFormat="1" ht="47.25" customHeight="1">
      <c r="A20" s="468" t="s">
        <v>376</v>
      </c>
      <c r="B20" s="479" t="s">
        <v>501</v>
      </c>
      <c r="C20" s="465"/>
      <c r="D20" s="461"/>
      <c r="E20" s="482"/>
      <c r="F20" s="480" t="s">
        <v>502</v>
      </c>
      <c r="G20" s="463">
        <v>25</v>
      </c>
      <c r="H20" s="462">
        <v>99</v>
      </c>
      <c r="I20" s="464"/>
      <c r="J20" s="464"/>
      <c r="K20" s="464"/>
      <c r="L20" s="481">
        <f t="shared" si="0"/>
        <v>99</v>
      </c>
    </row>
    <row r="21" spans="1:12" s="472" customFormat="1" ht="40.5" customHeight="1">
      <c r="A21" s="468" t="s">
        <v>142</v>
      </c>
      <c r="B21" s="480" t="s">
        <v>647</v>
      </c>
      <c r="C21" s="460" t="s">
        <v>643</v>
      </c>
      <c r="D21" s="463">
        <v>100</v>
      </c>
      <c r="E21" s="462">
        <f>59918+2920+641+505+763+547+1369+500+1312+564+841+387+647+1322+830+1618+794+1300+1030+1000+675+334</f>
        <v>79817</v>
      </c>
      <c r="F21" s="480"/>
      <c r="G21" s="463"/>
      <c r="H21" s="462"/>
      <c r="I21" s="464"/>
      <c r="J21" s="464"/>
      <c r="K21" s="464"/>
      <c r="L21" s="481">
        <f t="shared" si="0"/>
        <v>79817</v>
      </c>
    </row>
    <row r="22" spans="1:12" s="473" customFormat="1" ht="50.25" customHeight="1" thickBot="1">
      <c r="A22" s="483" t="s">
        <v>377</v>
      </c>
      <c r="B22" s="484" t="s">
        <v>647</v>
      </c>
      <c r="C22" s="485" t="s">
        <v>613</v>
      </c>
      <c r="D22" s="486">
        <v>100</v>
      </c>
      <c r="E22" s="487">
        <f>31+929+24+2630</f>
        <v>3614</v>
      </c>
      <c r="F22" s="484"/>
      <c r="G22" s="486"/>
      <c r="H22" s="487"/>
      <c r="I22" s="488"/>
      <c r="J22" s="488"/>
      <c r="K22" s="488"/>
      <c r="L22" s="489">
        <f t="shared" si="0"/>
        <v>3614</v>
      </c>
    </row>
    <row r="23" spans="1:12" s="473" customFormat="1" ht="73.5" customHeight="1">
      <c r="A23" s="468" t="s">
        <v>378</v>
      </c>
      <c r="B23" s="480" t="s">
        <v>647</v>
      </c>
      <c r="C23" s="465"/>
      <c r="D23" s="461"/>
      <c r="E23" s="482"/>
      <c r="F23" s="480" t="s">
        <v>640</v>
      </c>
      <c r="G23" s="463">
        <v>50</v>
      </c>
      <c r="H23" s="462">
        <f>337+6+531+1</f>
        <v>875</v>
      </c>
      <c r="I23" s="464"/>
      <c r="J23" s="464"/>
      <c r="K23" s="464"/>
      <c r="L23" s="481">
        <f t="shared" si="0"/>
        <v>875</v>
      </c>
    </row>
    <row r="24" spans="1:12" s="473" customFormat="1" ht="59.25" customHeight="1">
      <c r="A24" s="468" t="s">
        <v>503</v>
      </c>
      <c r="B24" s="480" t="s">
        <v>647</v>
      </c>
      <c r="C24" s="465"/>
      <c r="D24" s="461"/>
      <c r="E24" s="482"/>
      <c r="F24" s="480" t="s">
        <v>641</v>
      </c>
      <c r="G24" s="463">
        <v>50</v>
      </c>
      <c r="H24" s="462">
        <f>41080+1248+263+955+801+10+766+1336+544+800+1120+562+570+387+1392+692+315+920+597+600+441+500+575+520+778</f>
        <v>57772</v>
      </c>
      <c r="I24" s="464"/>
      <c r="J24" s="464"/>
      <c r="K24" s="464"/>
      <c r="L24" s="481">
        <f>SUM(E24,H24)</f>
        <v>57772</v>
      </c>
    </row>
    <row r="25" spans="1:12" s="473" customFormat="1" ht="66" customHeight="1">
      <c r="A25" s="468" t="s">
        <v>504</v>
      </c>
      <c r="B25" s="480" t="s">
        <v>647</v>
      </c>
      <c r="C25" s="465"/>
      <c r="D25" s="461"/>
      <c r="E25" s="482"/>
      <c r="F25" s="480" t="s">
        <v>642</v>
      </c>
      <c r="G25" s="463">
        <v>50</v>
      </c>
      <c r="H25" s="462">
        <f>14904+832+51+202+133+2+312+197+138+120+122+135+27+266+14+202+323+480+355+80+120+251+50+360+193+131</f>
        <v>20000</v>
      </c>
      <c r="I25" s="464"/>
      <c r="J25" s="464"/>
      <c r="K25" s="464"/>
      <c r="L25" s="481">
        <f t="shared" si="0"/>
        <v>20000</v>
      </c>
    </row>
    <row r="26" spans="1:12" s="473" customFormat="1" ht="47.25">
      <c r="A26" s="468" t="s">
        <v>505</v>
      </c>
      <c r="B26" s="480" t="s">
        <v>647</v>
      </c>
      <c r="C26" s="460" t="s">
        <v>717</v>
      </c>
      <c r="D26" s="461">
        <v>100</v>
      </c>
      <c r="E26" s="462">
        <v>920</v>
      </c>
      <c r="F26" s="480" t="s">
        <v>717</v>
      </c>
      <c r="G26" s="463" t="s">
        <v>650</v>
      </c>
      <c r="H26" s="462">
        <v>62</v>
      </c>
      <c r="I26" s="464"/>
      <c r="J26" s="464"/>
      <c r="K26" s="464"/>
      <c r="L26" s="481">
        <f t="shared" si="0"/>
        <v>982</v>
      </c>
    </row>
    <row r="27" spans="1:12" s="759" customFormat="1" ht="15.75" hidden="1">
      <c r="A27" s="650"/>
      <c r="B27" s="1012"/>
      <c r="C27" s="763"/>
      <c r="D27" s="761"/>
      <c r="E27" s="1013"/>
      <c r="F27" s="761"/>
      <c r="G27" s="765"/>
      <c r="H27" s="764"/>
      <c r="I27" s="757"/>
      <c r="J27" s="757"/>
      <c r="K27" s="757"/>
      <c r="L27" s="758"/>
    </row>
    <row r="28" spans="1:12" s="759" customFormat="1" ht="15.75" hidden="1">
      <c r="A28" s="650"/>
      <c r="B28" s="1012"/>
      <c r="C28" s="763"/>
      <c r="D28" s="761"/>
      <c r="E28" s="1013"/>
      <c r="F28" s="761"/>
      <c r="G28" s="765"/>
      <c r="H28" s="764"/>
      <c r="I28" s="757"/>
      <c r="J28" s="757"/>
      <c r="K28" s="757"/>
      <c r="L28" s="758"/>
    </row>
    <row r="29" spans="1:12" s="759" customFormat="1" ht="15.75" hidden="1">
      <c r="A29" s="650"/>
      <c r="B29" s="1012"/>
      <c r="C29" s="763"/>
      <c r="D29" s="761"/>
      <c r="E29" s="1013"/>
      <c r="F29" s="761"/>
      <c r="G29" s="765"/>
      <c r="H29" s="764"/>
      <c r="I29" s="757"/>
      <c r="J29" s="757"/>
      <c r="K29" s="757"/>
      <c r="L29" s="758"/>
    </row>
    <row r="30" spans="1:12" s="759" customFormat="1" ht="15.75" hidden="1">
      <c r="A30" s="650"/>
      <c r="B30" s="1012"/>
      <c r="C30" s="763"/>
      <c r="D30" s="761"/>
      <c r="E30" s="1013"/>
      <c r="F30" s="761"/>
      <c r="G30" s="765"/>
      <c r="H30" s="764"/>
      <c r="I30" s="757"/>
      <c r="J30" s="757"/>
      <c r="K30" s="757"/>
      <c r="L30" s="758"/>
    </row>
    <row r="31" spans="1:12" s="759" customFormat="1" ht="15.75" hidden="1">
      <c r="A31" s="650"/>
      <c r="B31" s="1012"/>
      <c r="C31" s="763"/>
      <c r="D31" s="761"/>
      <c r="E31" s="1013"/>
      <c r="F31" s="761"/>
      <c r="G31" s="765"/>
      <c r="H31" s="764"/>
      <c r="I31" s="757"/>
      <c r="J31" s="757"/>
      <c r="K31" s="757"/>
      <c r="L31" s="758"/>
    </row>
    <row r="32" spans="1:12" s="459" customFormat="1" ht="6" customHeight="1" thickBot="1">
      <c r="A32" s="1014"/>
      <c r="B32" s="1015"/>
      <c r="C32" s="768"/>
      <c r="D32" s="769"/>
      <c r="E32" s="1016"/>
      <c r="F32" s="769"/>
      <c r="G32" s="771"/>
      <c r="H32" s="770"/>
      <c r="I32" s="772"/>
      <c r="J32" s="772"/>
      <c r="K32" s="772"/>
      <c r="L32" s="773"/>
    </row>
    <row r="33" spans="1:12" s="459" customFormat="1" ht="75.75" customHeight="1">
      <c r="A33" s="753" t="s">
        <v>143</v>
      </c>
      <c r="B33" s="754" t="s">
        <v>368</v>
      </c>
      <c r="C33" s="453"/>
      <c r="D33" s="454"/>
      <c r="E33" s="455">
        <f>SUM(E34:E42)</f>
        <v>70500</v>
      </c>
      <c r="F33" s="454"/>
      <c r="G33" s="456"/>
      <c r="H33" s="457">
        <f>SUM(H34:H38)</f>
        <v>151782</v>
      </c>
      <c r="I33" s="457"/>
      <c r="J33" s="457"/>
      <c r="K33" s="457"/>
      <c r="L33" s="458">
        <f>SUM(E33,H33)</f>
        <v>222282</v>
      </c>
    </row>
    <row r="34" spans="1:12" s="759" customFormat="1" ht="57" customHeight="1">
      <c r="A34" s="755" t="s">
        <v>144</v>
      </c>
      <c r="B34" s="756" t="s">
        <v>109</v>
      </c>
      <c r="C34" s="460" t="s">
        <v>856</v>
      </c>
      <c r="D34" s="461">
        <v>100</v>
      </c>
      <c r="E34" s="462">
        <v>3588</v>
      </c>
      <c r="F34" s="480" t="s">
        <v>757</v>
      </c>
      <c r="G34" s="463"/>
      <c r="H34" s="464">
        <v>63622</v>
      </c>
      <c r="I34" s="757"/>
      <c r="J34" s="757"/>
      <c r="K34" s="757"/>
      <c r="L34" s="758">
        <f>SUM(E34,H34)</f>
        <v>67210</v>
      </c>
    </row>
    <row r="35" spans="1:12" s="759" customFormat="1" ht="44.25" customHeight="1">
      <c r="A35" s="755" t="s">
        <v>145</v>
      </c>
      <c r="B35" s="756" t="s">
        <v>110</v>
      </c>
      <c r="C35" s="460" t="s">
        <v>856</v>
      </c>
      <c r="D35" s="461">
        <v>100</v>
      </c>
      <c r="E35" s="462">
        <v>15072</v>
      </c>
      <c r="F35" s="460" t="s">
        <v>856</v>
      </c>
      <c r="G35" s="463"/>
      <c r="H35" s="464">
        <v>68780</v>
      </c>
      <c r="I35" s="757"/>
      <c r="J35" s="757"/>
      <c r="K35" s="757"/>
      <c r="L35" s="758">
        <f>SUM(E35,H35)</f>
        <v>83852</v>
      </c>
    </row>
    <row r="36" spans="1:12" s="759" customFormat="1" ht="44.25" customHeight="1">
      <c r="A36" s="755" t="s">
        <v>146</v>
      </c>
      <c r="B36" s="756" t="s">
        <v>111</v>
      </c>
      <c r="C36" s="460" t="s">
        <v>856</v>
      </c>
      <c r="D36" s="461">
        <v>100</v>
      </c>
      <c r="E36" s="462">
        <v>51840</v>
      </c>
      <c r="F36" s="460" t="s">
        <v>856</v>
      </c>
      <c r="G36" s="463"/>
      <c r="H36" s="464">
        <v>1656</v>
      </c>
      <c r="I36" s="757"/>
      <c r="J36" s="757"/>
      <c r="K36" s="757"/>
      <c r="L36" s="758">
        <f>SUM(E36,H36)</f>
        <v>53496</v>
      </c>
    </row>
    <row r="37" spans="1:12" s="759" customFormat="1" ht="73.5" customHeight="1">
      <c r="A37" s="755" t="s">
        <v>147</v>
      </c>
      <c r="B37" s="756"/>
      <c r="C37" s="460"/>
      <c r="D37" s="461"/>
      <c r="E37" s="462"/>
      <c r="F37" s="480" t="s">
        <v>757</v>
      </c>
      <c r="G37" s="463"/>
      <c r="H37" s="464">
        <v>17724</v>
      </c>
      <c r="I37" s="757"/>
      <c r="J37" s="757"/>
      <c r="K37" s="757"/>
      <c r="L37" s="758">
        <f>SUM(E37,H37)</f>
        <v>17724</v>
      </c>
    </row>
    <row r="38" spans="1:12" s="759" customFormat="1" ht="15.75" hidden="1">
      <c r="A38" s="755"/>
      <c r="B38" s="756"/>
      <c r="C38" s="465"/>
      <c r="D38" s="760"/>
      <c r="E38" s="462"/>
      <c r="F38" s="761"/>
      <c r="G38" s="463"/>
      <c r="H38" s="464"/>
      <c r="I38" s="757"/>
      <c r="J38" s="757"/>
      <c r="K38" s="757"/>
      <c r="L38" s="758"/>
    </row>
    <row r="39" spans="1:12" s="759" customFormat="1" ht="15.75" hidden="1">
      <c r="A39" s="755"/>
      <c r="B39" s="762"/>
      <c r="C39" s="763"/>
      <c r="D39" s="761"/>
      <c r="E39" s="764"/>
      <c r="F39" s="761"/>
      <c r="G39" s="463"/>
      <c r="H39" s="464"/>
      <c r="I39" s="757"/>
      <c r="J39" s="757"/>
      <c r="K39" s="757"/>
      <c r="L39" s="758"/>
    </row>
    <row r="40" spans="1:12" s="759" customFormat="1" ht="15.75" hidden="1">
      <c r="A40" s="755"/>
      <c r="B40" s="762"/>
      <c r="C40" s="763"/>
      <c r="D40" s="761"/>
      <c r="E40" s="764"/>
      <c r="F40" s="761"/>
      <c r="G40" s="463"/>
      <c r="H40" s="464"/>
      <c r="I40" s="757"/>
      <c r="J40" s="757"/>
      <c r="K40" s="757"/>
      <c r="L40" s="758"/>
    </row>
    <row r="41" spans="1:12" s="759" customFormat="1" ht="15.75" hidden="1">
      <c r="A41" s="755"/>
      <c r="B41" s="762"/>
      <c r="C41" s="763"/>
      <c r="D41" s="761"/>
      <c r="E41" s="764"/>
      <c r="F41" s="761"/>
      <c r="G41" s="765"/>
      <c r="H41" s="757"/>
      <c r="I41" s="757"/>
      <c r="J41" s="757"/>
      <c r="K41" s="757"/>
      <c r="L41" s="758"/>
    </row>
    <row r="42" spans="1:12" s="774" customFormat="1" ht="16.5" thickBot="1">
      <c r="A42" s="766"/>
      <c r="B42" s="767"/>
      <c r="C42" s="768"/>
      <c r="D42" s="769"/>
      <c r="E42" s="770"/>
      <c r="F42" s="769"/>
      <c r="G42" s="771"/>
      <c r="H42" s="772"/>
      <c r="I42" s="772"/>
      <c r="J42" s="772"/>
      <c r="K42" s="772"/>
      <c r="L42" s="773"/>
    </row>
    <row r="43" spans="1:12" s="658" customFormat="1" ht="75" customHeight="1">
      <c r="A43" s="650" t="s">
        <v>148</v>
      </c>
      <c r="B43" s="651" t="s">
        <v>367</v>
      </c>
      <c r="C43" s="652"/>
      <c r="D43" s="653"/>
      <c r="E43" s="654">
        <f>SUM(E44:E75)</f>
        <v>0</v>
      </c>
      <c r="F43" s="653"/>
      <c r="G43" s="655"/>
      <c r="H43" s="656">
        <f>SUM(H44,H59)+H68</f>
        <v>422964</v>
      </c>
      <c r="I43" s="656"/>
      <c r="J43" s="656"/>
      <c r="K43" s="656"/>
      <c r="L43" s="657">
        <f>SUM(L44,L59)+L68</f>
        <v>422964</v>
      </c>
    </row>
    <row r="44" spans="1:12" s="667" customFormat="1" ht="24" customHeight="1">
      <c r="A44" s="659" t="s">
        <v>149</v>
      </c>
      <c r="B44" s="660" t="s">
        <v>105</v>
      </c>
      <c r="C44" s="661"/>
      <c r="D44" s="662"/>
      <c r="E44" s="663"/>
      <c r="F44" s="662"/>
      <c r="G44" s="664"/>
      <c r="H44" s="665">
        <f>SUM(H46:H58)</f>
        <v>294470</v>
      </c>
      <c r="I44" s="665"/>
      <c r="J44" s="665"/>
      <c r="K44" s="665"/>
      <c r="L44" s="666">
        <f>SUM(L46:L57)</f>
        <v>294470</v>
      </c>
    </row>
    <row r="45" spans="1:12" s="667" customFormat="1" ht="17.25" customHeight="1">
      <c r="A45" s="659" t="s">
        <v>379</v>
      </c>
      <c r="B45" s="668" t="s">
        <v>128</v>
      </c>
      <c r="C45" s="661"/>
      <c r="D45" s="662"/>
      <c r="E45" s="663"/>
      <c r="F45" s="662"/>
      <c r="G45" s="664"/>
      <c r="H45" s="665"/>
      <c r="I45" s="665"/>
      <c r="J45" s="665"/>
      <c r="K45" s="665"/>
      <c r="L45" s="666"/>
    </row>
    <row r="46" spans="1:12" s="667" customFormat="1" ht="15.75" hidden="1">
      <c r="A46" s="659"/>
      <c r="B46" s="669" t="s">
        <v>167</v>
      </c>
      <c r="C46" s="661"/>
      <c r="D46" s="662"/>
      <c r="E46" s="663"/>
      <c r="F46" s="670" t="s">
        <v>457</v>
      </c>
      <c r="G46" s="664"/>
      <c r="H46" s="671"/>
      <c r="I46" s="662"/>
      <c r="J46" s="662"/>
      <c r="K46" s="662"/>
      <c r="L46" s="666">
        <f aca="true" t="shared" si="1" ref="L46:L58">SUM(H46,E46)</f>
        <v>0</v>
      </c>
    </row>
    <row r="47" spans="1:12" ht="15.75" hidden="1">
      <c r="A47" s="659"/>
      <c r="B47" s="669" t="s">
        <v>167</v>
      </c>
      <c r="C47" s="672"/>
      <c r="D47" s="670"/>
      <c r="E47" s="673"/>
      <c r="F47" s="670" t="s">
        <v>419</v>
      </c>
      <c r="G47" s="674"/>
      <c r="H47" s="670"/>
      <c r="I47" s="670"/>
      <c r="J47" s="670"/>
      <c r="K47" s="670"/>
      <c r="L47" s="666">
        <f t="shared" si="1"/>
        <v>0</v>
      </c>
    </row>
    <row r="48" spans="1:12" ht="15.75" hidden="1">
      <c r="A48" s="659"/>
      <c r="B48" s="669" t="s">
        <v>167</v>
      </c>
      <c r="C48" s="672"/>
      <c r="D48" s="670"/>
      <c r="E48" s="673"/>
      <c r="F48" s="670" t="s">
        <v>521</v>
      </c>
      <c r="G48" s="674"/>
      <c r="H48" s="670"/>
      <c r="I48" s="670"/>
      <c r="J48" s="670"/>
      <c r="K48" s="670"/>
      <c r="L48" s="666">
        <f t="shared" si="1"/>
        <v>0</v>
      </c>
    </row>
    <row r="49" spans="1:12" ht="15.75" hidden="1">
      <c r="A49" s="659"/>
      <c r="B49" s="669" t="s">
        <v>167</v>
      </c>
      <c r="C49" s="672"/>
      <c r="D49" s="670"/>
      <c r="E49" s="673"/>
      <c r="F49" s="670" t="s">
        <v>458</v>
      </c>
      <c r="G49" s="674"/>
      <c r="H49" s="670"/>
      <c r="I49" s="670"/>
      <c r="J49" s="670"/>
      <c r="K49" s="670"/>
      <c r="L49" s="666">
        <f t="shared" si="1"/>
        <v>0</v>
      </c>
    </row>
    <row r="50" spans="1:12" ht="15.75" hidden="1">
      <c r="A50" s="659"/>
      <c r="B50" s="669" t="s">
        <v>167</v>
      </c>
      <c r="C50" s="672"/>
      <c r="D50" s="670"/>
      <c r="E50" s="673"/>
      <c r="F50" s="670" t="s">
        <v>319</v>
      </c>
      <c r="G50" s="674"/>
      <c r="H50" s="670"/>
      <c r="I50" s="670"/>
      <c r="J50" s="670"/>
      <c r="K50" s="670"/>
      <c r="L50" s="666">
        <f t="shared" si="1"/>
        <v>0</v>
      </c>
    </row>
    <row r="51" spans="1:12" ht="15.75" hidden="1">
      <c r="A51" s="659"/>
      <c r="B51" s="669" t="s">
        <v>167</v>
      </c>
      <c r="C51" s="672" t="s">
        <v>620</v>
      </c>
      <c r="D51" s="670"/>
      <c r="E51" s="673"/>
      <c r="F51" s="670"/>
      <c r="G51" s="674"/>
      <c r="H51" s="670"/>
      <c r="I51" s="670"/>
      <c r="J51" s="670"/>
      <c r="K51" s="670"/>
      <c r="L51" s="666">
        <f t="shared" si="1"/>
        <v>0</v>
      </c>
    </row>
    <row r="52" spans="1:12" ht="15.75" hidden="1">
      <c r="A52" s="659"/>
      <c r="B52" s="670" t="s">
        <v>108</v>
      </c>
      <c r="C52" s="672"/>
      <c r="D52" s="670"/>
      <c r="E52" s="673"/>
      <c r="F52" s="670" t="s">
        <v>457</v>
      </c>
      <c r="G52" s="674"/>
      <c r="H52" s="670"/>
      <c r="I52" s="670"/>
      <c r="J52" s="670"/>
      <c r="K52" s="670"/>
      <c r="L52" s="666">
        <f t="shared" si="1"/>
        <v>0</v>
      </c>
    </row>
    <row r="53" spans="1:12" ht="15.75" hidden="1">
      <c r="A53" s="659"/>
      <c r="B53" s="670" t="s">
        <v>108</v>
      </c>
      <c r="C53" s="672"/>
      <c r="D53" s="670"/>
      <c r="E53" s="673"/>
      <c r="F53" s="670" t="s">
        <v>458</v>
      </c>
      <c r="G53" s="674"/>
      <c r="H53" s="670"/>
      <c r="I53" s="670"/>
      <c r="J53" s="670"/>
      <c r="K53" s="670"/>
      <c r="L53" s="666">
        <f t="shared" si="1"/>
        <v>0</v>
      </c>
    </row>
    <row r="54" spans="1:12" ht="20.25" customHeight="1">
      <c r="A54" s="659" t="s">
        <v>150</v>
      </c>
      <c r="B54" s="670" t="s">
        <v>108</v>
      </c>
      <c r="C54" s="672"/>
      <c r="D54" s="670"/>
      <c r="E54" s="673"/>
      <c r="F54" s="670" t="s">
        <v>644</v>
      </c>
      <c r="G54" s="674"/>
      <c r="H54" s="670">
        <v>243853</v>
      </c>
      <c r="I54" s="670"/>
      <c r="J54" s="670"/>
      <c r="K54" s="670"/>
      <c r="L54" s="666">
        <f t="shared" si="1"/>
        <v>243853</v>
      </c>
    </row>
    <row r="55" spans="1:12" ht="20.25" customHeight="1">
      <c r="A55" s="659" t="s">
        <v>151</v>
      </c>
      <c r="B55" s="670" t="s">
        <v>108</v>
      </c>
      <c r="C55" s="672"/>
      <c r="D55" s="670"/>
      <c r="E55" s="673"/>
      <c r="F55" s="670" t="s">
        <v>645</v>
      </c>
      <c r="G55" s="674"/>
      <c r="H55" s="670">
        <v>39615</v>
      </c>
      <c r="I55" s="670"/>
      <c r="J55" s="670"/>
      <c r="K55" s="670"/>
      <c r="L55" s="666">
        <f t="shared" si="1"/>
        <v>39615</v>
      </c>
    </row>
    <row r="56" spans="1:12" ht="20.25" customHeight="1" hidden="1">
      <c r="A56" s="659">
        <v>28</v>
      </c>
      <c r="B56" s="670" t="s">
        <v>108</v>
      </c>
      <c r="C56" s="672"/>
      <c r="D56" s="670"/>
      <c r="E56" s="673"/>
      <c r="F56" s="670" t="s">
        <v>419</v>
      </c>
      <c r="G56" s="674"/>
      <c r="H56" s="670"/>
      <c r="I56" s="670"/>
      <c r="J56" s="670"/>
      <c r="K56" s="670"/>
      <c r="L56" s="666">
        <f t="shared" si="1"/>
        <v>0</v>
      </c>
    </row>
    <row r="57" spans="1:12" s="670" customFormat="1" ht="20.25" customHeight="1" thickBot="1">
      <c r="A57" s="676" t="s">
        <v>152</v>
      </c>
      <c r="B57" s="677" t="s">
        <v>108</v>
      </c>
      <c r="C57" s="678"/>
      <c r="D57" s="677"/>
      <c r="E57" s="679"/>
      <c r="F57" s="677" t="s">
        <v>646</v>
      </c>
      <c r="G57" s="680"/>
      <c r="H57" s="677">
        <v>11002</v>
      </c>
      <c r="I57" s="677"/>
      <c r="J57" s="677"/>
      <c r="K57" s="677"/>
      <c r="L57" s="681">
        <f t="shared" si="1"/>
        <v>11002</v>
      </c>
    </row>
    <row r="58" spans="1:12" ht="15.75">
      <c r="A58" s="659"/>
      <c r="B58" s="670"/>
      <c r="C58" s="672"/>
      <c r="D58" s="670"/>
      <c r="E58" s="673"/>
      <c r="F58" s="670"/>
      <c r="G58" s="674"/>
      <c r="H58" s="670"/>
      <c r="I58" s="670"/>
      <c r="J58" s="670"/>
      <c r="K58" s="670"/>
      <c r="L58" s="666">
        <f t="shared" si="1"/>
        <v>0</v>
      </c>
    </row>
    <row r="59" spans="1:12" s="667" customFormat="1" ht="39.75" customHeight="1">
      <c r="A59" s="659" t="s">
        <v>153</v>
      </c>
      <c r="B59" s="660" t="s">
        <v>168</v>
      </c>
      <c r="C59" s="661"/>
      <c r="D59" s="662"/>
      <c r="E59" s="663"/>
      <c r="F59" s="662"/>
      <c r="G59" s="664"/>
      <c r="H59" s="665">
        <f>SUM(H61:H66)</f>
        <v>128494</v>
      </c>
      <c r="I59" s="665"/>
      <c r="J59" s="665"/>
      <c r="K59" s="665"/>
      <c r="L59" s="666">
        <f>SUM(L61:L66)</f>
        <v>128494</v>
      </c>
    </row>
    <row r="60" spans="1:12" s="667" customFormat="1" ht="17.25" customHeight="1">
      <c r="A60" s="659" t="s">
        <v>154</v>
      </c>
      <c r="B60" s="668" t="s">
        <v>128</v>
      </c>
      <c r="C60" s="661"/>
      <c r="D60" s="662"/>
      <c r="E60" s="663"/>
      <c r="F60" s="662"/>
      <c r="G60" s="664"/>
      <c r="H60" s="665"/>
      <c r="I60" s="665"/>
      <c r="J60" s="665"/>
      <c r="K60" s="665"/>
      <c r="L60" s="666"/>
    </row>
    <row r="61" spans="1:12" s="667" customFormat="1" ht="15.75">
      <c r="A61" s="659" t="s">
        <v>155</v>
      </c>
      <c r="B61" s="669" t="s">
        <v>167</v>
      </c>
      <c r="C61" s="661"/>
      <c r="D61" s="662"/>
      <c r="E61" s="663"/>
      <c r="F61" s="670" t="s">
        <v>320</v>
      </c>
      <c r="G61" s="664"/>
      <c r="H61" s="671">
        <v>9962</v>
      </c>
      <c r="I61" s="662"/>
      <c r="J61" s="662"/>
      <c r="K61" s="662"/>
      <c r="L61" s="666">
        <f aca="true" t="shared" si="2" ref="L61:L66">SUM(H61,E61)</f>
        <v>9962</v>
      </c>
    </row>
    <row r="62" spans="1:12" ht="15.75">
      <c r="A62" s="659" t="s">
        <v>156</v>
      </c>
      <c r="B62" s="669" t="s">
        <v>167</v>
      </c>
      <c r="C62" s="672"/>
      <c r="D62" s="670"/>
      <c r="E62" s="673"/>
      <c r="F62" s="670" t="s">
        <v>321</v>
      </c>
      <c r="G62" s="674"/>
      <c r="H62" s="682">
        <v>107689</v>
      </c>
      <c r="I62" s="670"/>
      <c r="J62" s="670"/>
      <c r="K62" s="670"/>
      <c r="L62" s="666">
        <f t="shared" si="2"/>
        <v>107689</v>
      </c>
    </row>
    <row r="63" spans="1:12" ht="15.75">
      <c r="A63" s="659" t="s">
        <v>157</v>
      </c>
      <c r="B63" s="669" t="s">
        <v>167</v>
      </c>
      <c r="C63" s="672"/>
      <c r="D63" s="670"/>
      <c r="E63" s="673"/>
      <c r="F63" s="670" t="s">
        <v>373</v>
      </c>
      <c r="G63" s="674"/>
      <c r="H63" s="682">
        <v>6661</v>
      </c>
      <c r="I63" s="670"/>
      <c r="J63" s="670"/>
      <c r="K63" s="670"/>
      <c r="L63" s="666">
        <f t="shared" si="2"/>
        <v>6661</v>
      </c>
    </row>
    <row r="64" spans="1:12" ht="15.75" hidden="1">
      <c r="A64" s="659"/>
      <c r="B64" s="670" t="s">
        <v>167</v>
      </c>
      <c r="C64" s="672"/>
      <c r="D64" s="670"/>
      <c r="E64" s="673"/>
      <c r="F64" s="670" t="s">
        <v>279</v>
      </c>
      <c r="G64" s="674"/>
      <c r="H64" s="670"/>
      <c r="I64" s="670"/>
      <c r="J64" s="670"/>
      <c r="K64" s="670"/>
      <c r="L64" s="666">
        <f t="shared" si="2"/>
        <v>0</v>
      </c>
    </row>
    <row r="65" spans="1:12" ht="15.75">
      <c r="A65" s="659" t="s">
        <v>158</v>
      </c>
      <c r="B65" s="670" t="s">
        <v>108</v>
      </c>
      <c r="C65" s="672"/>
      <c r="D65" s="670"/>
      <c r="E65" s="673"/>
      <c r="F65" s="670" t="s">
        <v>320</v>
      </c>
      <c r="G65" s="674"/>
      <c r="H65" s="670">
        <v>1955</v>
      </c>
      <c r="I65" s="670"/>
      <c r="J65" s="670"/>
      <c r="K65" s="670"/>
      <c r="L65" s="666">
        <f t="shared" si="2"/>
        <v>1955</v>
      </c>
    </row>
    <row r="66" spans="1:12" ht="15.75">
      <c r="A66" s="1017" t="s">
        <v>159</v>
      </c>
      <c r="B66" s="670" t="s">
        <v>108</v>
      </c>
      <c r="C66" s="672"/>
      <c r="D66" s="670"/>
      <c r="E66" s="673"/>
      <c r="F66" s="670" t="s">
        <v>321</v>
      </c>
      <c r="G66" s="674"/>
      <c r="H66" s="670">
        <v>2227</v>
      </c>
      <c r="I66" s="670"/>
      <c r="J66" s="670"/>
      <c r="K66" s="670"/>
      <c r="L66" s="1018">
        <f t="shared" si="2"/>
        <v>2227</v>
      </c>
    </row>
    <row r="67" spans="1:12" ht="15.75" hidden="1">
      <c r="A67" s="1017"/>
      <c r="B67" s="670"/>
      <c r="C67" s="672"/>
      <c r="D67" s="670"/>
      <c r="E67" s="673"/>
      <c r="F67" s="670"/>
      <c r="G67" s="674"/>
      <c r="H67" s="670"/>
      <c r="I67" s="670"/>
      <c r="J67" s="670"/>
      <c r="K67" s="670"/>
      <c r="L67" s="1018"/>
    </row>
    <row r="68" spans="1:12" ht="20.25" customHeight="1" hidden="1">
      <c r="A68" s="1017" t="s">
        <v>160</v>
      </c>
      <c r="B68" s="1019" t="s">
        <v>105</v>
      </c>
      <c r="C68" s="672"/>
      <c r="D68" s="670"/>
      <c r="E68" s="673"/>
      <c r="F68" s="670"/>
      <c r="G68" s="674"/>
      <c r="H68" s="670">
        <f>SUM(H69:H75)</f>
        <v>0</v>
      </c>
      <c r="I68" s="670"/>
      <c r="J68" s="670"/>
      <c r="K68" s="670"/>
      <c r="L68" s="1018">
        <f>SUM(L70:L74)</f>
        <v>0</v>
      </c>
    </row>
    <row r="69" spans="1:12" ht="15.75" hidden="1">
      <c r="A69" s="1017" t="s">
        <v>161</v>
      </c>
      <c r="B69" s="1020" t="s">
        <v>239</v>
      </c>
      <c r="C69" s="672"/>
      <c r="D69" s="670"/>
      <c r="E69" s="673"/>
      <c r="F69" s="670"/>
      <c r="G69" s="674"/>
      <c r="H69" s="670"/>
      <c r="I69" s="670"/>
      <c r="J69" s="670"/>
      <c r="K69" s="670"/>
      <c r="L69" s="1018"/>
    </row>
    <row r="70" spans="1:12" ht="15.75" hidden="1">
      <c r="A70" s="1017" t="s">
        <v>162</v>
      </c>
      <c r="B70" s="670" t="s">
        <v>240</v>
      </c>
      <c r="C70" s="672"/>
      <c r="D70" s="670"/>
      <c r="E70" s="673"/>
      <c r="F70" s="1021" t="s">
        <v>241</v>
      </c>
      <c r="G70" s="674">
        <v>20</v>
      </c>
      <c r="H70" s="670"/>
      <c r="I70" s="670"/>
      <c r="J70" s="670"/>
      <c r="K70" s="670"/>
      <c r="L70" s="1018">
        <f>SUM(H70,E70)</f>
        <v>0</v>
      </c>
    </row>
    <row r="71" spans="1:12" ht="15.75" hidden="1">
      <c r="A71" s="1017" t="s">
        <v>380</v>
      </c>
      <c r="B71" s="670" t="s">
        <v>240</v>
      </c>
      <c r="C71" s="672"/>
      <c r="D71" s="670"/>
      <c r="E71" s="673"/>
      <c r="F71" s="1021" t="s">
        <v>241</v>
      </c>
      <c r="G71" s="674">
        <v>30</v>
      </c>
      <c r="H71" s="670"/>
      <c r="I71" s="670"/>
      <c r="J71" s="670"/>
      <c r="K71" s="670"/>
      <c r="L71" s="1018">
        <f>SUM(H71,E71)</f>
        <v>0</v>
      </c>
    </row>
    <row r="72" spans="1:12" ht="15.75" hidden="1">
      <c r="A72" s="1017" t="s">
        <v>381</v>
      </c>
      <c r="B72" s="670" t="s">
        <v>240</v>
      </c>
      <c r="C72" s="672"/>
      <c r="D72" s="670"/>
      <c r="E72" s="673"/>
      <c r="F72" s="1021" t="s">
        <v>241</v>
      </c>
      <c r="G72" s="674">
        <v>50</v>
      </c>
      <c r="H72" s="670"/>
      <c r="I72" s="670"/>
      <c r="J72" s="670"/>
      <c r="K72" s="670"/>
      <c r="L72" s="1018">
        <f>SUM(H72,E72)</f>
        <v>0</v>
      </c>
    </row>
    <row r="73" spans="1:12" ht="15.75" hidden="1">
      <c r="A73" s="1017" t="s">
        <v>163</v>
      </c>
      <c r="B73" s="670" t="s">
        <v>240</v>
      </c>
      <c r="C73" s="672"/>
      <c r="D73" s="670"/>
      <c r="E73" s="673"/>
      <c r="F73" s="1021" t="s">
        <v>241</v>
      </c>
      <c r="G73" s="674">
        <v>100</v>
      </c>
      <c r="H73" s="670"/>
      <c r="I73" s="670"/>
      <c r="J73" s="670"/>
      <c r="K73" s="670"/>
      <c r="L73" s="1018">
        <f>SUM(H73,E73)</f>
        <v>0</v>
      </c>
    </row>
    <row r="74" spans="1:12" ht="9.75" customHeight="1" thickBot="1">
      <c r="A74" s="1017"/>
      <c r="B74" s="670"/>
      <c r="C74" s="672"/>
      <c r="D74" s="670"/>
      <c r="E74" s="673"/>
      <c r="F74" s="670"/>
      <c r="G74" s="674"/>
      <c r="H74" s="670"/>
      <c r="I74" s="670"/>
      <c r="J74" s="670"/>
      <c r="K74" s="670"/>
      <c r="L74" s="742"/>
    </row>
    <row r="75" spans="1:12" s="670" customFormat="1" ht="5.25" customHeight="1" hidden="1" thickBot="1">
      <c r="A75" s="1017"/>
      <c r="C75" s="678"/>
      <c r="D75" s="677"/>
      <c r="E75" s="679"/>
      <c r="G75" s="674"/>
      <c r="L75" s="742"/>
    </row>
    <row r="76" spans="1:12" s="473" customFormat="1" ht="72.75" customHeight="1" thickBot="1">
      <c r="A76" s="1022" t="s">
        <v>118</v>
      </c>
      <c r="B76" s="1023" t="s">
        <v>372</v>
      </c>
      <c r="C76" s="1024"/>
      <c r="D76" s="1025"/>
      <c r="E76" s="1026" t="s">
        <v>311</v>
      </c>
      <c r="F76" s="1025"/>
      <c r="G76" s="1027"/>
      <c r="H76" s="1028" t="s">
        <v>311</v>
      </c>
      <c r="I76" s="1028"/>
      <c r="J76" s="1028"/>
      <c r="K76" s="1028"/>
      <c r="L76" s="1029" t="s">
        <v>311</v>
      </c>
    </row>
    <row r="77" spans="1:12" s="473" customFormat="1" ht="57.75" customHeight="1" thickBot="1">
      <c r="A77" s="1030" t="s">
        <v>119</v>
      </c>
      <c r="B77" s="1023" t="s">
        <v>137</v>
      </c>
      <c r="C77" s="1031"/>
      <c r="D77" s="1032"/>
      <c r="E77" s="1033" t="s">
        <v>311</v>
      </c>
      <c r="F77" s="1031"/>
      <c r="G77" s="1034"/>
      <c r="H77" s="1035" t="s">
        <v>115</v>
      </c>
      <c r="I77" s="1035">
        <f>SUM(I78:I79)</f>
        <v>0</v>
      </c>
      <c r="J77" s="1035">
        <f>SUM(J78:J79)</f>
        <v>0</v>
      </c>
      <c r="K77" s="1035">
        <f>SUM(K78:K79)</f>
        <v>0</v>
      </c>
      <c r="L77" s="1035" t="s">
        <v>115</v>
      </c>
    </row>
    <row r="78" spans="1:12" s="473" customFormat="1" ht="15.75" hidden="1">
      <c r="A78" s="1036"/>
      <c r="B78" s="1037" t="s">
        <v>621</v>
      </c>
      <c r="C78" s="465"/>
      <c r="D78" s="461"/>
      <c r="E78" s="1038"/>
      <c r="F78" s="465"/>
      <c r="G78" s="463"/>
      <c r="H78" s="1038"/>
      <c r="I78" s="461"/>
      <c r="J78" s="461"/>
      <c r="K78" s="461"/>
      <c r="L78" s="1039"/>
    </row>
    <row r="79" spans="1:12" s="473" customFormat="1" ht="47.25" customHeight="1" hidden="1" thickBot="1">
      <c r="A79" s="1036"/>
      <c r="B79" s="472" t="s">
        <v>167</v>
      </c>
      <c r="C79" s="1040"/>
      <c r="D79" s="1041"/>
      <c r="E79" s="1042"/>
      <c r="F79" s="1040" t="s">
        <v>341</v>
      </c>
      <c r="G79" s="1043">
        <v>0.25</v>
      </c>
      <c r="H79" s="1042"/>
      <c r="I79" s="1044"/>
      <c r="J79" s="1044"/>
      <c r="K79" s="1044"/>
      <c r="L79" s="1045">
        <f>SUM(H79,E79)</f>
        <v>0</v>
      </c>
    </row>
    <row r="80" spans="1:12" s="1052" customFormat="1" ht="42.75" customHeight="1" thickBot="1">
      <c r="A80" s="1046" t="s">
        <v>132</v>
      </c>
      <c r="B80" s="1047" t="s">
        <v>418</v>
      </c>
      <c r="C80" s="1048"/>
      <c r="D80" s="1047"/>
      <c r="E80" s="1049">
        <f>SUM(E77,E76,E43,E33,E9)</f>
        <v>154851</v>
      </c>
      <c r="F80" s="1047"/>
      <c r="G80" s="1050"/>
      <c r="H80" s="1047">
        <f>SUM(H77,H76,H43,H33,H9)</f>
        <v>987708</v>
      </c>
      <c r="I80" s="1047"/>
      <c r="J80" s="1047"/>
      <c r="K80" s="1047"/>
      <c r="L80" s="1051">
        <f>SUM(L77,L76,L43,L33,L9)</f>
        <v>1142559</v>
      </c>
    </row>
    <row r="82" ht="15.75">
      <c r="B82" s="1012"/>
    </row>
  </sheetData>
  <sheetProtection/>
  <mergeCells count="7">
    <mergeCell ref="H2:L2"/>
    <mergeCell ref="B3:L3"/>
    <mergeCell ref="B4:L4"/>
    <mergeCell ref="I7:K7"/>
    <mergeCell ref="B5:E5"/>
    <mergeCell ref="C7:E7"/>
    <mergeCell ref="F7:H7"/>
  </mergeCells>
  <printOptions horizontalCentered="1"/>
  <pageMargins left="0.3937007874015748" right="0.3937007874015748" top="0.4330708661417323" bottom="0.4724409448818898" header="0.31496062992125984" footer="0.31496062992125984"/>
  <pageSetup horizontalDpi="600" verticalDpi="600" orientation="landscape" paperSize="9" scale="61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5.625" style="699" customWidth="1"/>
    <col min="2" max="2" width="94.625" style="1068" customWidth="1"/>
    <col min="3" max="3" width="24.50390625" style="1068" customWidth="1"/>
    <col min="4" max="4" width="20.875" style="1069" customWidth="1"/>
    <col min="5" max="5" width="16.00390625" style="1069" customWidth="1"/>
    <col min="6" max="16384" width="9.375" style="1069" customWidth="1"/>
  </cols>
  <sheetData>
    <row r="1" ht="24.75" customHeight="1">
      <c r="B1" s="1067" t="s">
        <v>940</v>
      </c>
    </row>
    <row r="2" ht="6" customHeight="1">
      <c r="B2" s="1067"/>
    </row>
    <row r="3" spans="1:3" ht="29.25" customHeight="1">
      <c r="A3" s="1069"/>
      <c r="B3" s="1069"/>
      <c r="C3" s="1069"/>
    </row>
    <row r="4" spans="1:3" s="1070" customFormat="1" ht="44.25" customHeight="1">
      <c r="A4" s="1367" t="s">
        <v>554</v>
      </c>
      <c r="B4" s="1367"/>
      <c r="C4" s="1367"/>
    </row>
    <row r="5" spans="1:3" ht="5.25" customHeight="1">
      <c r="A5" s="702"/>
      <c r="B5" s="1071"/>
      <c r="C5" s="1071"/>
    </row>
    <row r="6" spans="1:3" ht="17.25" hidden="1">
      <c r="A6" s="701"/>
      <c r="B6" s="1072"/>
      <c r="C6" s="1072"/>
    </row>
    <row r="7" spans="1:3" ht="52.5" customHeight="1" thickBot="1">
      <c r="A7" s="701"/>
      <c r="B7" s="1073"/>
      <c r="C7" s="1073"/>
    </row>
    <row r="8" spans="1:3" ht="13.5" thickBot="1">
      <c r="A8" s="693"/>
      <c r="B8" s="703" t="s">
        <v>138</v>
      </c>
      <c r="C8" s="1057" t="s">
        <v>139</v>
      </c>
    </row>
    <row r="9" spans="1:3" ht="72" customHeight="1" thickBot="1">
      <c r="A9" s="704"/>
      <c r="B9" s="1074" t="s">
        <v>570</v>
      </c>
      <c r="C9" s="1075" t="s">
        <v>703</v>
      </c>
    </row>
    <row r="10" spans="1:3" s="1078" customFormat="1" ht="23.25" customHeight="1">
      <c r="A10" s="1076" t="s">
        <v>464</v>
      </c>
      <c r="B10" s="1077" t="s">
        <v>578</v>
      </c>
      <c r="C10" s="1124"/>
    </row>
    <row r="11" spans="1:3" s="1078" customFormat="1" ht="24.75" customHeight="1">
      <c r="A11" s="1076" t="s">
        <v>562</v>
      </c>
      <c r="B11" s="1079" t="s">
        <v>571</v>
      </c>
      <c r="C11" s="1125">
        <v>166300000</v>
      </c>
    </row>
    <row r="12" spans="1:3" s="1078" customFormat="1" ht="15.75" customHeight="1">
      <c r="A12" s="1076" t="s">
        <v>563</v>
      </c>
      <c r="B12" s="1079" t="s">
        <v>572</v>
      </c>
      <c r="C12" s="1125">
        <v>4500000</v>
      </c>
    </row>
    <row r="13" spans="1:3" s="1078" customFormat="1" ht="20.25" customHeight="1">
      <c r="A13" s="1076" t="s">
        <v>564</v>
      </c>
      <c r="B13" s="1079" t="s">
        <v>500</v>
      </c>
      <c r="C13" s="1125">
        <v>16500000</v>
      </c>
    </row>
    <row r="14" spans="1:3" s="1078" customFormat="1" ht="20.25" customHeight="1">
      <c r="A14" s="1076" t="s">
        <v>565</v>
      </c>
      <c r="B14" s="1079" t="s">
        <v>589</v>
      </c>
      <c r="C14" s="1125">
        <v>135000000</v>
      </c>
    </row>
    <row r="15" spans="1:3" s="1078" customFormat="1" ht="20.25" customHeight="1">
      <c r="A15" s="1076" t="s">
        <v>566</v>
      </c>
      <c r="B15" s="1079" t="s">
        <v>573</v>
      </c>
      <c r="C15" s="1125">
        <v>6500000</v>
      </c>
    </row>
    <row r="16" spans="1:3" s="1078" customFormat="1" ht="20.25" customHeight="1">
      <c r="A16" s="1076" t="s">
        <v>567</v>
      </c>
      <c r="B16" s="1079" t="s">
        <v>574</v>
      </c>
      <c r="C16" s="1125">
        <v>10000000</v>
      </c>
    </row>
    <row r="17" spans="1:3" s="1078" customFormat="1" ht="20.25" customHeight="1">
      <c r="A17" s="1076" t="s">
        <v>590</v>
      </c>
      <c r="B17" s="1079" t="s">
        <v>575</v>
      </c>
      <c r="C17" s="1125">
        <v>170000000</v>
      </c>
    </row>
    <row r="18" spans="1:3" s="1078" customFormat="1" ht="20.25" customHeight="1">
      <c r="A18" s="1076" t="s">
        <v>351</v>
      </c>
      <c r="B18" s="1080" t="s">
        <v>576</v>
      </c>
      <c r="C18" s="1125">
        <v>80000000</v>
      </c>
    </row>
    <row r="19" spans="1:3" s="1078" customFormat="1" ht="22.5" customHeight="1">
      <c r="A19" s="1076" t="s">
        <v>174</v>
      </c>
      <c r="B19" s="1079" t="s">
        <v>275</v>
      </c>
      <c r="C19" s="1125">
        <v>15000000</v>
      </c>
    </row>
    <row r="20" spans="1:3" s="1078" customFormat="1" ht="24" customHeight="1">
      <c r="A20" s="1076" t="s">
        <v>375</v>
      </c>
      <c r="B20" s="1079" t="s">
        <v>580</v>
      </c>
      <c r="C20" s="1125">
        <v>6000000</v>
      </c>
    </row>
    <row r="21" spans="1:3" s="1078" customFormat="1" ht="18.75" customHeight="1">
      <c r="A21" s="1076" t="s">
        <v>376</v>
      </c>
      <c r="B21" s="1079" t="s">
        <v>581</v>
      </c>
      <c r="C21" s="1125">
        <v>3600000</v>
      </c>
    </row>
    <row r="22" spans="1:3" s="1078" customFormat="1" ht="24.75" customHeight="1">
      <c r="A22" s="1076" t="s">
        <v>142</v>
      </c>
      <c r="B22" s="1079" t="s">
        <v>582</v>
      </c>
      <c r="C22" s="1125">
        <v>5000000</v>
      </c>
    </row>
    <row r="23" spans="1:3" s="1078" customFormat="1" ht="18.75" customHeight="1">
      <c r="A23" s="1076" t="s">
        <v>377</v>
      </c>
      <c r="B23" s="1079" t="s">
        <v>583</v>
      </c>
      <c r="C23" s="1125">
        <v>2000000</v>
      </c>
    </row>
    <row r="24" spans="1:3" s="1078" customFormat="1" ht="20.25" customHeight="1">
      <c r="A24" s="1076" t="s">
        <v>378</v>
      </c>
      <c r="B24" s="1079" t="s">
        <v>584</v>
      </c>
      <c r="C24" s="1125">
        <v>1080000</v>
      </c>
    </row>
    <row r="25" spans="1:3" s="1078" customFormat="1" ht="21" customHeight="1">
      <c r="A25" s="1076" t="s">
        <v>503</v>
      </c>
      <c r="B25" s="1079" t="s">
        <v>586</v>
      </c>
      <c r="C25" s="1125">
        <v>11500000</v>
      </c>
    </row>
    <row r="26" spans="1:3" s="1078" customFormat="1" ht="22.5" customHeight="1">
      <c r="A26" s="1076" t="s">
        <v>504</v>
      </c>
      <c r="B26" s="720" t="s">
        <v>864</v>
      </c>
      <c r="C26" s="1125">
        <v>5000000</v>
      </c>
    </row>
    <row r="27" spans="1:3" s="1078" customFormat="1" ht="36" customHeight="1">
      <c r="A27" s="1076" t="s">
        <v>505</v>
      </c>
      <c r="B27" s="1081" t="s">
        <v>906</v>
      </c>
      <c r="C27" s="1125">
        <v>790000000</v>
      </c>
    </row>
    <row r="28" spans="1:4" s="1078" customFormat="1" ht="20.25" customHeight="1">
      <c r="A28" s="1076" t="s">
        <v>143</v>
      </c>
      <c r="B28" s="720" t="s">
        <v>867</v>
      </c>
      <c r="C28" s="1125">
        <v>2856000</v>
      </c>
      <c r="D28" s="1089">
        <f>SUM(C11:C28)</f>
        <v>1430836000</v>
      </c>
    </row>
    <row r="29" spans="1:5" s="1078" customFormat="1" ht="33" customHeight="1">
      <c r="A29" s="1082"/>
      <c r="B29" s="1083"/>
      <c r="C29" s="1126"/>
      <c r="D29" s="1090">
        <f>'[5]kiemelt ei összesítő'!$U$15-'[5]kiemelt ei összesítő'!$X$15</f>
        <v>1430836000</v>
      </c>
      <c r="E29" s="1090">
        <f>D29-D28</f>
        <v>0</v>
      </c>
    </row>
    <row r="30" spans="1:3" s="1078" customFormat="1" ht="15.75">
      <c r="A30" s="1082" t="s">
        <v>144</v>
      </c>
      <c r="B30" s="1084" t="s">
        <v>577</v>
      </c>
      <c r="C30" s="1126"/>
    </row>
    <row r="31" spans="1:3" s="1078" customFormat="1" ht="39" customHeight="1">
      <c r="A31" s="1082" t="s">
        <v>145</v>
      </c>
      <c r="B31" s="1079" t="s">
        <v>861</v>
      </c>
      <c r="C31" s="1125">
        <v>11258913</v>
      </c>
    </row>
    <row r="32" spans="1:3" s="1078" customFormat="1" ht="19.5" customHeight="1">
      <c r="A32" s="1082" t="s">
        <v>146</v>
      </c>
      <c r="B32" s="1079" t="s">
        <v>573</v>
      </c>
      <c r="C32" s="1125">
        <v>3500000</v>
      </c>
    </row>
    <row r="33" spans="1:3" s="1078" customFormat="1" ht="20.25" customHeight="1">
      <c r="A33" s="1082" t="s">
        <v>147</v>
      </c>
      <c r="B33" s="1080" t="s">
        <v>576</v>
      </c>
      <c r="C33" s="1125">
        <v>13150000</v>
      </c>
    </row>
    <row r="34" spans="1:3" s="1078" customFormat="1" ht="20.25" customHeight="1">
      <c r="A34" s="1082" t="s">
        <v>148</v>
      </c>
      <c r="B34" s="1079" t="s">
        <v>575</v>
      </c>
      <c r="C34" s="1125">
        <v>5000000</v>
      </c>
    </row>
    <row r="35" spans="1:3" s="1078" customFormat="1" ht="30" customHeight="1">
      <c r="A35" s="1082" t="s">
        <v>149</v>
      </c>
      <c r="B35" s="730" t="s">
        <v>904</v>
      </c>
      <c r="C35" s="1125">
        <v>300000000</v>
      </c>
    </row>
    <row r="36" spans="1:3" s="1078" customFormat="1" ht="30" customHeight="1">
      <c r="A36" s="1082" t="s">
        <v>379</v>
      </c>
      <c r="B36" s="730" t="s">
        <v>905</v>
      </c>
      <c r="C36" s="1125">
        <v>300000000</v>
      </c>
    </row>
    <row r="37" spans="1:3" s="1078" customFormat="1" ht="30" customHeight="1">
      <c r="A37" s="1082" t="s">
        <v>150</v>
      </c>
      <c r="B37" s="730" t="s">
        <v>870</v>
      </c>
      <c r="C37" s="1125">
        <v>167000000</v>
      </c>
    </row>
    <row r="38" spans="1:3" s="1078" customFormat="1" ht="24" customHeight="1">
      <c r="A38" s="1082" t="s">
        <v>151</v>
      </c>
      <c r="B38" s="1085" t="s">
        <v>579</v>
      </c>
      <c r="C38" s="1125">
        <v>3269100</v>
      </c>
    </row>
    <row r="39" spans="1:3" s="1078" customFormat="1" ht="24" customHeight="1">
      <c r="A39" s="1082" t="s">
        <v>152</v>
      </c>
      <c r="B39" s="1079" t="s">
        <v>587</v>
      </c>
      <c r="C39" s="1125">
        <v>45000000</v>
      </c>
    </row>
    <row r="40" spans="1:3" s="1078" customFormat="1" ht="24" customHeight="1">
      <c r="A40" s="1082" t="s">
        <v>153</v>
      </c>
      <c r="B40" s="1079" t="s">
        <v>588</v>
      </c>
      <c r="C40" s="1125">
        <v>1000000</v>
      </c>
    </row>
    <row r="41" spans="1:3" s="1078" customFormat="1" ht="24" customHeight="1">
      <c r="A41" s="1082" t="s">
        <v>154</v>
      </c>
      <c r="B41" s="730" t="s">
        <v>872</v>
      </c>
      <c r="C41" s="1125">
        <v>18888272</v>
      </c>
    </row>
    <row r="42" spans="1:4" s="1078" customFormat="1" ht="24" customHeight="1">
      <c r="A42" s="1082" t="s">
        <v>155</v>
      </c>
      <c r="B42" s="730" t="s">
        <v>871</v>
      </c>
      <c r="C42" s="1125">
        <v>50000000</v>
      </c>
      <c r="D42" s="1089">
        <f>SUM(C31:C42)</f>
        <v>918066285</v>
      </c>
    </row>
    <row r="43" spans="1:3" ht="6.75" customHeight="1" thickBot="1">
      <c r="A43" s="706"/>
      <c r="B43" s="1086"/>
      <c r="C43" s="1127"/>
    </row>
    <row r="44" spans="1:3" ht="13.5" hidden="1" thickBot="1">
      <c r="A44" s="706"/>
      <c r="B44" s="1086"/>
      <c r="C44" s="1127"/>
    </row>
    <row r="45" spans="1:3" ht="13.5" hidden="1" thickBot="1">
      <c r="A45" s="706"/>
      <c r="B45" s="1086"/>
      <c r="C45" s="1127"/>
    </row>
    <row r="46" spans="1:3" ht="13.5" hidden="1" thickBot="1">
      <c r="A46" s="709"/>
      <c r="B46" s="1087"/>
      <c r="C46" s="1128"/>
    </row>
    <row r="47" spans="1:5" ht="48.75" customHeight="1" thickBot="1">
      <c r="A47" s="693" t="s">
        <v>156</v>
      </c>
      <c r="B47" s="1088" t="s">
        <v>569</v>
      </c>
      <c r="C47" s="1129">
        <f>SUM(C10:C46)</f>
        <v>2348902285</v>
      </c>
      <c r="D47" s="1091">
        <f>'[5]kiemelt ei összesítő'!$U$18-'[5]kiemelt ei összesítő'!$X$18</f>
        <v>1251066285</v>
      </c>
      <c r="E47" s="1091">
        <f>D47-D42</f>
        <v>333000000</v>
      </c>
    </row>
    <row r="50" ht="12.75">
      <c r="C50" s="1068">
        <f>SUM(D29,D47)</f>
        <v>2681902285</v>
      </c>
    </row>
    <row r="51" ht="12.75">
      <c r="C51" s="1068">
        <f>C50-C47</f>
        <v>333000000</v>
      </c>
    </row>
  </sheetData>
  <sheetProtection/>
  <mergeCells count="1">
    <mergeCell ref="A4:C4"/>
  </mergeCells>
  <printOptions horizontalCentered="1"/>
  <pageMargins left="0.4330708661417323" right="0.4724409448818898" top="0.7" bottom="0.4724409448818898" header="0.35433070866141736" footer="0.3543307086614173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showGridLines="0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5.625" style="1130" customWidth="1"/>
    <col min="2" max="2" width="92.50390625" style="687" customWidth="1"/>
    <col min="3" max="3" width="24.50390625" style="687" customWidth="1"/>
    <col min="4" max="4" width="20.50390625" style="1132" customWidth="1"/>
    <col min="5" max="5" width="11.875" style="1132" bestFit="1" customWidth="1"/>
    <col min="6" max="16384" width="9.375" style="1132" customWidth="1"/>
  </cols>
  <sheetData>
    <row r="1" ht="52.5" customHeight="1">
      <c r="B1" s="1131" t="s">
        <v>941</v>
      </c>
    </row>
    <row r="2" ht="6" customHeight="1">
      <c r="B2" s="1131"/>
    </row>
    <row r="3" spans="1:3" ht="32.25" customHeight="1">
      <c r="A3" s="1132"/>
      <c r="B3" s="1133"/>
      <c r="C3" s="1132"/>
    </row>
    <row r="4" spans="1:3" s="1134" customFormat="1" ht="44.25" customHeight="1">
      <c r="A4" s="1367" t="s">
        <v>857</v>
      </c>
      <c r="B4" s="1367"/>
      <c r="C4" s="1367"/>
    </row>
    <row r="5" spans="1:3" ht="5.25" customHeight="1">
      <c r="A5" s="1135"/>
      <c r="B5" s="689"/>
      <c r="C5" s="689"/>
    </row>
    <row r="6" spans="1:3" ht="19.5" hidden="1">
      <c r="A6" s="1136"/>
      <c r="B6" s="690"/>
      <c r="C6" s="690"/>
    </row>
    <row r="7" spans="1:3" ht="54" customHeight="1" thickBot="1">
      <c r="A7" s="1136"/>
      <c r="B7" s="691"/>
      <c r="C7" s="691"/>
    </row>
    <row r="8" spans="1:3" ht="13.5" thickBot="1">
      <c r="A8" s="1137"/>
      <c r="B8" s="1138" t="s">
        <v>138</v>
      </c>
      <c r="C8" s="1139" t="s">
        <v>139</v>
      </c>
    </row>
    <row r="9" spans="1:3" ht="72" customHeight="1" thickBot="1">
      <c r="A9" s="1140"/>
      <c r="B9" s="1141" t="s">
        <v>570</v>
      </c>
      <c r="C9" s="1058" t="s">
        <v>703</v>
      </c>
    </row>
    <row r="10" spans="1:3" s="1145" customFormat="1" ht="46.5" customHeight="1">
      <c r="A10" s="1142" t="s">
        <v>464</v>
      </c>
      <c r="B10" s="1143" t="s">
        <v>578</v>
      </c>
      <c r="C10" s="1144"/>
    </row>
    <row r="11" spans="1:3" s="1149" customFormat="1" ht="24.75" customHeight="1">
      <c r="A11" s="1146" t="s">
        <v>562</v>
      </c>
      <c r="B11" s="1147" t="s">
        <v>860</v>
      </c>
      <c r="C11" s="1148">
        <v>30000000</v>
      </c>
    </row>
    <row r="12" spans="1:3" s="1149" customFormat="1" ht="15.75" customHeight="1">
      <c r="A12" s="1146" t="s">
        <v>563</v>
      </c>
      <c r="B12" s="1056" t="s">
        <v>862</v>
      </c>
      <c r="C12" s="1148">
        <v>11000000</v>
      </c>
    </row>
    <row r="13" spans="1:3" s="1149" customFormat="1" ht="20.25" customHeight="1">
      <c r="A13" s="1146" t="s">
        <v>565</v>
      </c>
      <c r="B13" s="729" t="s">
        <v>907</v>
      </c>
      <c r="C13" s="1148">
        <v>6000000</v>
      </c>
    </row>
    <row r="14" spans="1:3" s="1149" customFormat="1" ht="20.25" customHeight="1">
      <c r="A14" s="1146" t="s">
        <v>566</v>
      </c>
      <c r="B14" s="720" t="s">
        <v>865</v>
      </c>
      <c r="C14" s="1148">
        <v>8500000</v>
      </c>
    </row>
    <row r="15" spans="1:3" s="1149" customFormat="1" ht="20.25" customHeight="1">
      <c r="A15" s="1146" t="s">
        <v>567</v>
      </c>
      <c r="B15" s="729" t="s">
        <v>866</v>
      </c>
      <c r="C15" s="1148">
        <v>2040000</v>
      </c>
    </row>
    <row r="16" spans="1:4" s="1149" customFormat="1" ht="20.25" customHeight="1">
      <c r="A16" s="1146" t="s">
        <v>590</v>
      </c>
      <c r="B16" s="729" t="s">
        <v>908</v>
      </c>
      <c r="C16" s="1148">
        <v>3000000</v>
      </c>
      <c r="D16" s="1150">
        <f>SUM(C11:C16)</f>
        <v>60540000</v>
      </c>
    </row>
    <row r="17" spans="1:5" s="1149" customFormat="1" ht="12.75" customHeight="1">
      <c r="A17" s="1146"/>
      <c r="B17" s="1151"/>
      <c r="C17" s="1148"/>
      <c r="D17" s="1152">
        <f>'[5]kiemelt ei összesítő'!$U$14-'[5]kiemelt ei összesítő'!$X$14</f>
        <v>60540000</v>
      </c>
      <c r="E17" s="1152">
        <f>D17-D16</f>
        <v>0</v>
      </c>
    </row>
    <row r="18" spans="1:3" s="1149" customFormat="1" ht="22.5" customHeight="1">
      <c r="A18" s="1146"/>
      <c r="B18" s="1153"/>
      <c r="C18" s="1154"/>
    </row>
    <row r="19" spans="1:4" s="1149" customFormat="1" ht="15.75">
      <c r="A19" s="1146" t="s">
        <v>351</v>
      </c>
      <c r="B19" s="1155" t="s">
        <v>577</v>
      </c>
      <c r="C19" s="1154"/>
      <c r="D19" s="1150">
        <f>SUM(C20:C22)</f>
        <v>11000000</v>
      </c>
    </row>
    <row r="20" spans="1:5" s="1149" customFormat="1" ht="24" customHeight="1">
      <c r="A20" s="1146" t="s">
        <v>174</v>
      </c>
      <c r="B20" s="729" t="s">
        <v>909</v>
      </c>
      <c r="C20" s="1148">
        <v>8000000</v>
      </c>
      <c r="D20" s="1152">
        <f>'[5]kiemelt ei összesítő'!$U$17-'[5]kiemelt ei összesítő'!$X$17</f>
        <v>11000000</v>
      </c>
      <c r="E20" s="1152">
        <f>D20-D19</f>
        <v>0</v>
      </c>
    </row>
    <row r="21" spans="1:5" s="1149" customFormat="1" ht="23.25" customHeight="1">
      <c r="A21" s="1146" t="s">
        <v>375</v>
      </c>
      <c r="B21" s="730" t="s">
        <v>873</v>
      </c>
      <c r="C21" s="1148">
        <v>3000000</v>
      </c>
      <c r="D21" s="1152"/>
      <c r="E21" s="1152"/>
    </row>
    <row r="22" spans="1:3" ht="6.75" customHeight="1" thickBot="1">
      <c r="A22" s="1156"/>
      <c r="B22" s="708"/>
      <c r="C22" s="1157"/>
    </row>
    <row r="23" spans="1:3" ht="13.5" hidden="1" thickBot="1">
      <c r="A23" s="1156"/>
      <c r="B23" s="708"/>
      <c r="C23" s="1157"/>
    </row>
    <row r="24" spans="1:3" ht="13.5" hidden="1" thickBot="1">
      <c r="A24" s="1156"/>
      <c r="B24" s="708"/>
      <c r="C24" s="1157"/>
    </row>
    <row r="25" spans="1:3" ht="13.5" hidden="1" thickBot="1">
      <c r="A25" s="1158"/>
      <c r="B25" s="710"/>
      <c r="C25" s="1159"/>
    </row>
    <row r="26" spans="1:3" ht="63.75" customHeight="1" thickBot="1">
      <c r="A26" s="1137" t="s">
        <v>376</v>
      </c>
      <c r="B26" s="717" t="s">
        <v>858</v>
      </c>
      <c r="C26" s="1160">
        <f>SUM(C10:C25)</f>
        <v>71540000</v>
      </c>
    </row>
    <row r="29" ht="12.75">
      <c r="C29" s="687">
        <f>SUM(D20,D17)</f>
        <v>71540000</v>
      </c>
    </row>
    <row r="30" ht="12.75">
      <c r="C30" s="687">
        <f>C29-C26</f>
        <v>0</v>
      </c>
    </row>
  </sheetData>
  <sheetProtection/>
  <mergeCells count="1">
    <mergeCell ref="A4:C4"/>
  </mergeCells>
  <printOptions horizontalCentered="1"/>
  <pageMargins left="0.4330708661417323" right="0.4724409448818898" top="0.7" bottom="0.4724409448818898" header="0.35433070866141736" footer="0.3543307086614173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625" style="699" customWidth="1"/>
    <col min="2" max="2" width="94.625" style="1068" customWidth="1"/>
    <col min="3" max="3" width="24.50390625" style="1068" customWidth="1"/>
    <col min="4" max="4" width="20.875" style="1069" customWidth="1"/>
    <col min="5" max="5" width="16.00390625" style="1069" customWidth="1"/>
    <col min="6" max="16384" width="9.375" style="1069" customWidth="1"/>
  </cols>
  <sheetData>
    <row r="1" ht="24.75" customHeight="1">
      <c r="B1" s="1067" t="s">
        <v>942</v>
      </c>
    </row>
    <row r="2" ht="6" customHeight="1">
      <c r="B2" s="1067"/>
    </row>
    <row r="3" spans="1:3" ht="29.25" customHeight="1">
      <c r="A3" s="1069"/>
      <c r="B3" s="1069"/>
      <c r="C3" s="1069"/>
    </row>
    <row r="4" spans="1:3" s="1070" customFormat="1" ht="44.25" customHeight="1">
      <c r="A4" s="1367" t="s">
        <v>910</v>
      </c>
      <c r="B4" s="1367"/>
      <c r="C4" s="1367"/>
    </row>
    <row r="5" spans="1:3" ht="5.25" customHeight="1">
      <c r="A5" s="702"/>
      <c r="B5" s="1071"/>
      <c r="C5" s="1071"/>
    </row>
    <row r="6" spans="1:3" ht="17.25" hidden="1">
      <c r="A6" s="701"/>
      <c r="B6" s="1072"/>
      <c r="C6" s="1072"/>
    </row>
    <row r="7" spans="1:3" ht="52.5" customHeight="1" thickBot="1">
      <c r="A7" s="701"/>
      <c r="B7" s="1073"/>
      <c r="C7" s="1073"/>
    </row>
    <row r="8" spans="1:3" ht="13.5" thickBot="1">
      <c r="A8" s="693"/>
      <c r="B8" s="703" t="s">
        <v>138</v>
      </c>
      <c r="C8" s="1057" t="s">
        <v>139</v>
      </c>
    </row>
    <row r="9" spans="1:3" ht="72" customHeight="1" thickBot="1">
      <c r="A9" s="704"/>
      <c r="B9" s="1074" t="s">
        <v>570</v>
      </c>
      <c r="C9" s="1075" t="s">
        <v>706</v>
      </c>
    </row>
    <row r="10" spans="1:3" ht="37.5" customHeight="1">
      <c r="A10" s="1076"/>
      <c r="B10" s="1243"/>
      <c r="C10" s="1244"/>
    </row>
    <row r="11" spans="1:3" s="1078" customFormat="1" ht="15.75">
      <c r="A11" s="1076" t="s">
        <v>464</v>
      </c>
      <c r="B11" s="1077" t="s">
        <v>578</v>
      </c>
      <c r="C11" s="1124"/>
    </row>
    <row r="12" spans="1:4" s="1078" customFormat="1" ht="42" customHeight="1">
      <c r="A12" s="1076" t="s">
        <v>562</v>
      </c>
      <c r="B12" s="1240" t="s">
        <v>895</v>
      </c>
      <c r="C12" s="1125">
        <v>59253900</v>
      </c>
      <c r="D12" s="1078">
        <f>'[7]KIEMELT ELŐIRÁNYZATOK'!$AC$37</f>
        <v>59254</v>
      </c>
    </row>
    <row r="13" spans="1:3" s="1078" customFormat="1" ht="13.5" customHeight="1" thickBot="1">
      <c r="A13" s="1076"/>
      <c r="B13" s="1079"/>
      <c r="C13" s="1125"/>
    </row>
    <row r="14" spans="1:3" s="1078" customFormat="1" ht="19.5" customHeight="1" hidden="1" thickBot="1">
      <c r="A14" s="1076"/>
      <c r="B14" s="1079"/>
      <c r="C14" s="1125"/>
    </row>
    <row r="15" spans="1:3" s="1078" customFormat="1" ht="8.25" customHeight="1" hidden="1" thickBot="1">
      <c r="A15" s="1076"/>
      <c r="B15" s="1079"/>
      <c r="C15" s="1125"/>
    </row>
    <row r="16" spans="1:3" s="1078" customFormat="1" ht="19.5" customHeight="1" hidden="1" thickBot="1">
      <c r="A16" s="1076" t="s">
        <v>566</v>
      </c>
      <c r="B16" s="1079"/>
      <c r="C16" s="1125"/>
    </row>
    <row r="17" spans="1:3" s="1078" customFormat="1" ht="19.5" customHeight="1" hidden="1" thickBot="1">
      <c r="A17" s="1076" t="s">
        <v>567</v>
      </c>
      <c r="B17" s="1079"/>
      <c r="C17" s="1125"/>
    </row>
    <row r="18" spans="1:3" s="1078" customFormat="1" ht="19.5" customHeight="1" hidden="1" thickBot="1">
      <c r="A18" s="1076" t="s">
        <v>590</v>
      </c>
      <c r="B18" s="1079"/>
      <c r="C18" s="1125"/>
    </row>
    <row r="19" spans="1:3" s="1078" customFormat="1" ht="19.5" customHeight="1" hidden="1" thickBot="1">
      <c r="A19" s="1076" t="s">
        <v>351</v>
      </c>
      <c r="B19" s="1080"/>
      <c r="C19" s="1125"/>
    </row>
    <row r="20" spans="1:3" s="1078" customFormat="1" ht="21.75" customHeight="1" hidden="1" thickBot="1">
      <c r="A20" s="1076" t="s">
        <v>174</v>
      </c>
      <c r="B20" s="1079"/>
      <c r="C20" s="1125"/>
    </row>
    <row r="21" spans="1:3" s="1078" customFormat="1" ht="24" customHeight="1" hidden="1" thickBot="1">
      <c r="A21" s="1076" t="s">
        <v>375</v>
      </c>
      <c r="B21" s="1079"/>
      <c r="C21" s="1125"/>
    </row>
    <row r="22" spans="1:3" s="1078" customFormat="1" ht="18" customHeight="1" hidden="1" thickBot="1">
      <c r="A22" s="1076" t="s">
        <v>376</v>
      </c>
      <c r="B22" s="1079"/>
      <c r="C22" s="1125"/>
    </row>
    <row r="23" spans="1:3" s="1078" customFormat="1" ht="24" customHeight="1" hidden="1" thickBot="1">
      <c r="A23" s="1076" t="s">
        <v>142</v>
      </c>
      <c r="B23" s="1079"/>
      <c r="C23" s="1125"/>
    </row>
    <row r="24" spans="1:3" s="1078" customFormat="1" ht="18" customHeight="1" hidden="1" thickBot="1">
      <c r="A24" s="1076" t="s">
        <v>377</v>
      </c>
      <c r="B24" s="1079"/>
      <c r="C24" s="1125"/>
    </row>
    <row r="25" spans="1:3" s="1078" customFormat="1" ht="19.5" customHeight="1" hidden="1" thickBot="1">
      <c r="A25" s="1076" t="s">
        <v>378</v>
      </c>
      <c r="B25" s="1079"/>
      <c r="C25" s="1125"/>
    </row>
    <row r="26" spans="1:3" s="1078" customFormat="1" ht="21" customHeight="1" hidden="1" thickBot="1">
      <c r="A26" s="1076" t="s">
        <v>503</v>
      </c>
      <c r="B26" s="1079"/>
      <c r="C26" s="1125"/>
    </row>
    <row r="27" spans="1:3" s="1078" customFormat="1" ht="22.5" customHeight="1" hidden="1" thickBot="1">
      <c r="A27" s="1076" t="s">
        <v>504</v>
      </c>
      <c r="B27" s="720"/>
      <c r="C27" s="1125"/>
    </row>
    <row r="28" spans="1:3" s="1078" customFormat="1" ht="36" customHeight="1" hidden="1" thickBot="1">
      <c r="A28" s="1076" t="s">
        <v>505</v>
      </c>
      <c r="B28" s="1081"/>
      <c r="C28" s="1125"/>
    </row>
    <row r="29" spans="1:4" s="1078" customFormat="1" ht="12" customHeight="1" hidden="1" thickBot="1">
      <c r="A29" s="1076" t="s">
        <v>143</v>
      </c>
      <c r="B29" s="720"/>
      <c r="C29" s="1125"/>
      <c r="D29" s="1089">
        <f>SUM(C12:C29)</f>
        <v>59253900</v>
      </c>
    </row>
    <row r="30" spans="1:5" s="1078" customFormat="1" ht="33" customHeight="1" hidden="1" thickBot="1">
      <c r="A30" s="1082"/>
      <c r="B30" s="1083"/>
      <c r="C30" s="1126"/>
      <c r="D30" s="1090">
        <f>'[5]kiemelt ei összesítő'!$U$15-'[5]kiemelt ei összesítő'!$X$15</f>
        <v>1430836000</v>
      </c>
      <c r="E30" s="1090">
        <f>D30-D29</f>
        <v>1371582100</v>
      </c>
    </row>
    <row r="31" spans="1:3" s="1078" customFormat="1" ht="16.5" hidden="1" thickBot="1">
      <c r="A31" s="1082" t="s">
        <v>144</v>
      </c>
      <c r="B31" s="1084" t="s">
        <v>577</v>
      </c>
      <c r="C31" s="1126"/>
    </row>
    <row r="32" spans="1:3" s="1078" customFormat="1" ht="39" customHeight="1" hidden="1" thickBot="1">
      <c r="A32" s="1082" t="s">
        <v>145</v>
      </c>
      <c r="B32" s="1079"/>
      <c r="C32" s="1125"/>
    </row>
    <row r="33" spans="1:3" s="1078" customFormat="1" ht="18.75" customHeight="1" hidden="1" thickBot="1">
      <c r="A33" s="1082" t="s">
        <v>146</v>
      </c>
      <c r="B33" s="1079"/>
      <c r="C33" s="1125"/>
    </row>
    <row r="34" spans="1:3" s="1078" customFormat="1" ht="19.5" customHeight="1" hidden="1" thickBot="1">
      <c r="A34" s="1082" t="s">
        <v>147</v>
      </c>
      <c r="B34" s="1080"/>
      <c r="C34" s="1125"/>
    </row>
    <row r="35" spans="1:3" s="1078" customFormat="1" ht="19.5" customHeight="1" hidden="1" thickBot="1">
      <c r="A35" s="1082" t="s">
        <v>148</v>
      </c>
      <c r="B35" s="1079"/>
      <c r="C35" s="1125"/>
    </row>
    <row r="36" spans="1:3" s="1078" customFormat="1" ht="30" customHeight="1" hidden="1" thickBot="1">
      <c r="A36" s="1082" t="s">
        <v>149</v>
      </c>
      <c r="B36" s="730"/>
      <c r="C36" s="1125"/>
    </row>
    <row r="37" spans="1:3" s="1078" customFormat="1" ht="30" customHeight="1" hidden="1" thickBot="1">
      <c r="A37" s="1082" t="s">
        <v>379</v>
      </c>
      <c r="B37" s="730"/>
      <c r="C37" s="1125"/>
    </row>
    <row r="38" spans="1:3" s="1078" customFormat="1" ht="30" customHeight="1" hidden="1" thickBot="1">
      <c r="A38" s="1082" t="s">
        <v>150</v>
      </c>
      <c r="B38" s="730"/>
      <c r="C38" s="1125"/>
    </row>
    <row r="39" spans="1:3" s="1078" customFormat="1" ht="24" customHeight="1" hidden="1" thickBot="1">
      <c r="A39" s="1082" t="s">
        <v>151</v>
      </c>
      <c r="B39" s="1085"/>
      <c r="C39" s="1125"/>
    </row>
    <row r="40" spans="1:3" s="1078" customFormat="1" ht="24" customHeight="1" hidden="1" thickBot="1">
      <c r="A40" s="1082" t="s">
        <v>152</v>
      </c>
      <c r="B40" s="1079"/>
      <c r="C40" s="1125"/>
    </row>
    <row r="41" spans="1:3" s="1078" customFormat="1" ht="24" customHeight="1" hidden="1" thickBot="1">
      <c r="A41" s="1082" t="s">
        <v>153</v>
      </c>
      <c r="B41" s="1079"/>
      <c r="C41" s="1125"/>
    </row>
    <row r="42" spans="1:3" s="1078" customFormat="1" ht="24" customHeight="1" hidden="1" thickBot="1">
      <c r="A42" s="1082" t="s">
        <v>154</v>
      </c>
      <c r="B42" s="730"/>
      <c r="C42" s="1125"/>
    </row>
    <row r="43" spans="1:4" s="1078" customFormat="1" ht="24" customHeight="1" hidden="1" thickBot="1">
      <c r="A43" s="1082" t="s">
        <v>155</v>
      </c>
      <c r="B43" s="730"/>
      <c r="C43" s="1125"/>
      <c r="D43" s="1089">
        <f>SUM(C32:C43)</f>
        <v>0</v>
      </c>
    </row>
    <row r="44" spans="1:3" ht="6" customHeight="1" hidden="1" thickBot="1">
      <c r="A44" s="706"/>
      <c r="B44" s="1086"/>
      <c r="C44" s="1127"/>
    </row>
    <row r="45" spans="1:3" ht="13.5" hidden="1" thickBot="1">
      <c r="A45" s="706"/>
      <c r="B45" s="1086"/>
      <c r="C45" s="1127"/>
    </row>
    <row r="46" spans="1:3" ht="13.5" hidden="1" thickBot="1">
      <c r="A46" s="706"/>
      <c r="B46" s="1086"/>
      <c r="C46" s="1127"/>
    </row>
    <row r="47" spans="1:3" ht="13.5" hidden="1" thickBot="1">
      <c r="A47" s="709"/>
      <c r="B47" s="1087"/>
      <c r="C47" s="1128"/>
    </row>
    <row r="48" spans="1:5" ht="48.75" customHeight="1" thickBot="1">
      <c r="A48" s="693" t="s">
        <v>563</v>
      </c>
      <c r="B48" s="1088" t="s">
        <v>886</v>
      </c>
      <c r="C48" s="1129">
        <f>SUM(C11:C47)</f>
        <v>59253900</v>
      </c>
      <c r="D48" s="1091"/>
      <c r="E48" s="1091"/>
    </row>
  </sheetData>
  <sheetProtection/>
  <mergeCells count="1">
    <mergeCell ref="A4:C4"/>
  </mergeCells>
  <printOptions horizontalCentered="1"/>
  <pageMargins left="0.4330708661417323" right="0.4724409448818898" top="0.7" bottom="0.4724409448818898" header="0.35433070866141736" footer="0.3543307086614173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625" style="1130" customWidth="1"/>
    <col min="2" max="2" width="92.50390625" style="687" customWidth="1"/>
    <col min="3" max="3" width="24.50390625" style="687" customWidth="1"/>
    <col min="4" max="4" width="20.50390625" style="1132" customWidth="1"/>
    <col min="5" max="5" width="18.375" style="1132" customWidth="1"/>
    <col min="6" max="16384" width="9.375" style="1132" customWidth="1"/>
  </cols>
  <sheetData>
    <row r="1" ht="52.5" customHeight="1">
      <c r="B1" s="1067" t="s">
        <v>943</v>
      </c>
    </row>
    <row r="2" ht="6" customHeight="1">
      <c r="B2" s="1131"/>
    </row>
    <row r="3" spans="1:3" ht="32.25" customHeight="1">
      <c r="A3" s="1132"/>
      <c r="B3" s="1133"/>
      <c r="C3" s="1132"/>
    </row>
    <row r="4" spans="1:3" s="1134" customFormat="1" ht="44.25" customHeight="1">
      <c r="A4" s="1367" t="s">
        <v>930</v>
      </c>
      <c r="B4" s="1367"/>
      <c r="C4" s="1367"/>
    </row>
    <row r="5" spans="1:3" ht="5.25" customHeight="1">
      <c r="A5" s="1135"/>
      <c r="B5" s="689"/>
      <c r="C5" s="689"/>
    </row>
    <row r="6" spans="1:3" ht="19.5" hidden="1">
      <c r="A6" s="1136"/>
      <c r="B6" s="690"/>
      <c r="C6" s="690"/>
    </row>
    <row r="7" spans="1:3" ht="54" customHeight="1" thickBot="1">
      <c r="A7" s="1136"/>
      <c r="B7" s="691"/>
      <c r="C7" s="691"/>
    </row>
    <row r="8" spans="1:3" ht="16.5" thickBot="1">
      <c r="A8" s="1226"/>
      <c r="B8" s="1227" t="s">
        <v>138</v>
      </c>
      <c r="C8" s="1228" t="s">
        <v>139</v>
      </c>
    </row>
    <row r="9" spans="1:3" ht="72" customHeight="1" thickBot="1">
      <c r="A9" s="1229"/>
      <c r="B9" s="1074" t="s">
        <v>570</v>
      </c>
      <c r="C9" s="1075" t="s">
        <v>899</v>
      </c>
    </row>
    <row r="10" spans="1:3" s="1145" customFormat="1" ht="33" customHeight="1">
      <c r="A10" s="1230" t="s">
        <v>464</v>
      </c>
      <c r="B10" s="1077" t="s">
        <v>578</v>
      </c>
      <c r="C10" s="1225"/>
    </row>
    <row r="11" spans="1:4" s="1149" customFormat="1" ht="33" customHeight="1">
      <c r="A11" s="1231" t="s">
        <v>562</v>
      </c>
      <c r="B11" s="1240" t="s">
        <v>887</v>
      </c>
      <c r="C11" s="1126">
        <v>460000000</v>
      </c>
      <c r="D11" s="1241"/>
    </row>
    <row r="12" spans="1:3" s="1149" customFormat="1" ht="45" customHeight="1">
      <c r="A12" s="1231" t="s">
        <v>563</v>
      </c>
      <c r="B12" s="729" t="s">
        <v>911</v>
      </c>
      <c r="C12" s="1126">
        <v>4396995</v>
      </c>
    </row>
    <row r="13" spans="1:3" s="1149" customFormat="1" ht="45" customHeight="1">
      <c r="A13" s="1231" t="s">
        <v>565</v>
      </c>
      <c r="B13" s="729" t="s">
        <v>912</v>
      </c>
      <c r="C13" s="1126">
        <v>26205000</v>
      </c>
    </row>
    <row r="14" spans="1:3" s="1149" customFormat="1" ht="26.25" customHeight="1">
      <c r="A14" s="1231" t="s">
        <v>566</v>
      </c>
      <c r="B14" s="720" t="s">
        <v>894</v>
      </c>
      <c r="C14" s="1126">
        <v>11040000</v>
      </c>
    </row>
    <row r="15" spans="1:3" s="1149" customFormat="1" ht="26.25" customHeight="1">
      <c r="A15" s="1231" t="s">
        <v>567</v>
      </c>
      <c r="B15" s="729" t="s">
        <v>896</v>
      </c>
      <c r="C15" s="1126">
        <v>10000000</v>
      </c>
    </row>
    <row r="16" spans="1:4" s="1149" customFormat="1" ht="26.25" customHeight="1">
      <c r="A16" s="1231" t="s">
        <v>590</v>
      </c>
      <c r="B16" s="729" t="s">
        <v>897</v>
      </c>
      <c r="C16" s="1126">
        <v>1435870</v>
      </c>
      <c r="D16" s="1150"/>
    </row>
    <row r="17" spans="1:4" s="1149" customFormat="1" ht="26.25" customHeight="1">
      <c r="A17" s="1231" t="s">
        <v>351</v>
      </c>
      <c r="B17" s="729" t="s">
        <v>901</v>
      </c>
      <c r="C17" s="1126">
        <v>332666</v>
      </c>
      <c r="D17" s="1150"/>
    </row>
    <row r="18" spans="1:5" s="1149" customFormat="1" ht="26.25" customHeight="1">
      <c r="A18" s="1231" t="s">
        <v>174</v>
      </c>
      <c r="B18" s="1083" t="s">
        <v>898</v>
      </c>
      <c r="C18" s="1126">
        <f>1063147000+369316000</f>
        <v>1432463000</v>
      </c>
      <c r="D18" s="1152"/>
      <c r="E18" s="1152"/>
    </row>
    <row r="19" spans="1:5" s="1149" customFormat="1" ht="26.25" customHeight="1">
      <c r="A19" s="1231" t="s">
        <v>375</v>
      </c>
      <c r="B19" s="1083" t="s">
        <v>746</v>
      </c>
      <c r="C19" s="1126">
        <v>14278000</v>
      </c>
      <c r="D19" s="1241">
        <f>SUM(C11:C19)</f>
        <v>1960151531</v>
      </c>
      <c r="E19" s="1152">
        <f>'[7]KIEMELT ELŐIRÁNYZATOK'!$AC$12</f>
        <v>2031096</v>
      </c>
    </row>
    <row r="20" spans="1:5" s="1149" customFormat="1" ht="22.5" customHeight="1">
      <c r="A20" s="1231"/>
      <c r="B20" s="1083"/>
      <c r="C20" s="1126"/>
      <c r="D20" s="1152">
        <f>(D19/1000)-E19</f>
        <v>-70944.46900000004</v>
      </c>
      <c r="E20" s="1242">
        <f>23752-5717+16549+36361</f>
        <v>70945</v>
      </c>
    </row>
    <row r="21" spans="1:5" s="1149" customFormat="1" ht="15.75">
      <c r="A21" s="1231" t="s">
        <v>376</v>
      </c>
      <c r="B21" s="1084" t="s">
        <v>577</v>
      </c>
      <c r="C21" s="1126"/>
      <c r="D21" s="1150"/>
      <c r="E21" s="1152">
        <f>E20+D20</f>
        <v>0.5309999999590218</v>
      </c>
    </row>
    <row r="22" spans="1:5" s="1149" customFormat="1" ht="44.25" customHeight="1">
      <c r="A22" s="1231" t="s">
        <v>142</v>
      </c>
      <c r="B22" s="1240" t="s">
        <v>888</v>
      </c>
      <c r="C22" s="1126">
        <v>150000000</v>
      </c>
      <c r="D22" s="1241"/>
      <c r="E22" s="1152"/>
    </row>
    <row r="23" spans="1:5" s="1149" customFormat="1" ht="44.25" customHeight="1">
      <c r="A23" s="1231" t="s">
        <v>377</v>
      </c>
      <c r="B23" s="1240" t="s">
        <v>889</v>
      </c>
      <c r="C23" s="1126">
        <v>12888083</v>
      </c>
      <c r="D23" s="1152"/>
      <c r="E23" s="1152"/>
    </row>
    <row r="24" spans="1:5" s="1149" customFormat="1" ht="44.25" customHeight="1">
      <c r="A24" s="1231" t="s">
        <v>378</v>
      </c>
      <c r="B24" s="1240" t="s">
        <v>913</v>
      </c>
      <c r="C24" s="1126">
        <v>17497504</v>
      </c>
      <c r="D24" s="1152"/>
      <c r="E24" s="1152"/>
    </row>
    <row r="25" spans="1:5" s="1149" customFormat="1" ht="44.25" customHeight="1">
      <c r="A25" s="1231" t="s">
        <v>503</v>
      </c>
      <c r="B25" s="729" t="s">
        <v>890</v>
      </c>
      <c r="C25" s="1126">
        <v>74295</v>
      </c>
      <c r="D25" s="1152"/>
      <c r="E25" s="1152"/>
    </row>
    <row r="26" spans="1:5" s="1149" customFormat="1" ht="44.25" customHeight="1">
      <c r="A26" s="1231" t="s">
        <v>504</v>
      </c>
      <c r="B26" s="729" t="s">
        <v>891</v>
      </c>
      <c r="C26" s="1126">
        <v>74295</v>
      </c>
      <c r="D26" s="1152"/>
      <c r="E26" s="1152"/>
    </row>
    <row r="27" spans="1:5" s="1149" customFormat="1" ht="36" customHeight="1">
      <c r="A27" s="1231" t="s">
        <v>505</v>
      </c>
      <c r="B27" s="729" t="s">
        <v>892</v>
      </c>
      <c r="C27" s="1126">
        <v>78830000</v>
      </c>
      <c r="D27" s="1152"/>
      <c r="E27" s="1152"/>
    </row>
    <row r="28" spans="1:5" s="1149" customFormat="1" ht="44.25" customHeight="1">
      <c r="A28" s="1231" t="s">
        <v>143</v>
      </c>
      <c r="B28" s="729" t="s">
        <v>893</v>
      </c>
      <c r="C28" s="1126">
        <v>116741541</v>
      </c>
      <c r="D28" s="1152"/>
      <c r="E28" s="1152">
        <f>SUM(D29:E29)</f>
        <v>-0.28200000000651926</v>
      </c>
    </row>
    <row r="29" spans="1:5" s="1149" customFormat="1" ht="35.25" customHeight="1">
      <c r="A29" s="1231" t="s">
        <v>144</v>
      </c>
      <c r="B29" s="729" t="s">
        <v>914</v>
      </c>
      <c r="C29" s="1126">
        <v>1000000</v>
      </c>
      <c r="D29" s="1152">
        <f>(D30/1000)-E30</f>
        <v>-26058.282000000007</v>
      </c>
      <c r="E29" s="1152">
        <f>5717+639+19702</f>
        <v>26058</v>
      </c>
    </row>
    <row r="30" spans="1:5" s="1149" customFormat="1" ht="39" customHeight="1" thickBot="1">
      <c r="A30" s="1231" t="s">
        <v>145</v>
      </c>
      <c r="B30" s="720" t="s">
        <v>894</v>
      </c>
      <c r="C30" s="1126">
        <v>188960000</v>
      </c>
      <c r="D30" s="1241">
        <f>SUM(C21:C30)</f>
        <v>566065718</v>
      </c>
      <c r="E30" s="1152">
        <f>'[7]KIEMELT ELŐIRÁNYZATOK'!$AC$46</f>
        <v>592124</v>
      </c>
    </row>
    <row r="31" spans="1:3" ht="6" customHeight="1" hidden="1" thickBot="1">
      <c r="A31" s="1232"/>
      <c r="B31" s="1233"/>
      <c r="C31" s="1234"/>
    </row>
    <row r="32" spans="1:3" ht="16.5" hidden="1" thickBot="1">
      <c r="A32" s="1232"/>
      <c r="B32" s="1233"/>
      <c r="C32" s="1234"/>
    </row>
    <row r="33" spans="1:3" ht="16.5" hidden="1" thickBot="1">
      <c r="A33" s="1232"/>
      <c r="B33" s="1233"/>
      <c r="C33" s="1234"/>
    </row>
    <row r="34" spans="1:3" ht="16.5" hidden="1" thickBot="1">
      <c r="A34" s="1235"/>
      <c r="B34" s="1236"/>
      <c r="C34" s="1237"/>
    </row>
    <row r="35" spans="1:4" ht="51" customHeight="1" thickBot="1">
      <c r="A35" s="1226" t="s">
        <v>146</v>
      </c>
      <c r="B35" s="1238" t="s">
        <v>885</v>
      </c>
      <c r="C35" s="1239">
        <f>SUM(C10:C34)</f>
        <v>2526217249</v>
      </c>
      <c r="D35" s="1152">
        <f>(D34/1000)-E34</f>
        <v>0</v>
      </c>
    </row>
    <row r="37" spans="1:3" ht="27.75" customHeight="1">
      <c r="A37" s="1368" t="s">
        <v>900</v>
      </c>
      <c r="B37" s="1368"/>
      <c r="C37" s="1368"/>
    </row>
    <row r="38" ht="12.75">
      <c r="C38" s="687">
        <f>SUM(D22,D18)</f>
        <v>0</v>
      </c>
    </row>
    <row r="39" ht="12.75">
      <c r="C39" s="687">
        <f>C38-C35</f>
        <v>-2526217249</v>
      </c>
    </row>
  </sheetData>
  <sheetProtection/>
  <mergeCells count="2">
    <mergeCell ref="A4:C4"/>
    <mergeCell ref="A37:C37"/>
  </mergeCells>
  <printOptions horizontalCentered="1"/>
  <pageMargins left="0.4330708661417323" right="0.4724409448818898" top="0.7" bottom="0.4724409448818898" header="0.35433070866141736" footer="0.3543307086614173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5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10.625" defaultRowHeight="12.75"/>
  <cols>
    <col min="1" max="1" width="5.625" style="699" customWidth="1"/>
    <col min="2" max="2" width="59.00390625" style="687" customWidth="1"/>
    <col min="3" max="4" width="20.375" style="687" customWidth="1"/>
    <col min="5" max="5" width="21.00390625" style="687" customWidth="1"/>
    <col min="6" max="6" width="17.375" style="571" hidden="1" customWidth="1"/>
    <col min="7" max="7" width="17.375" style="572" customWidth="1"/>
    <col min="8" max="8" width="15.375" style="572" customWidth="1"/>
    <col min="9" max="9" width="15.875" style="572" customWidth="1"/>
    <col min="10" max="16384" width="10.625" style="572" customWidth="1"/>
  </cols>
  <sheetData>
    <row r="1" ht="33" customHeight="1">
      <c r="B1" s="1067" t="s">
        <v>944</v>
      </c>
    </row>
    <row r="2" spans="1:6" s="695" customFormat="1" ht="14.25" customHeight="1">
      <c r="A2" s="699"/>
      <c r="B2" s="700"/>
      <c r="C2" s="687"/>
      <c r="D2" s="687"/>
      <c r="E2" s="687"/>
      <c r="F2" s="1063"/>
    </row>
    <row r="3" spans="1:6" s="1064" customFormat="1" ht="53.25" customHeight="1">
      <c r="A3" s="1369" t="s">
        <v>707</v>
      </c>
      <c r="B3" s="1369"/>
      <c r="C3" s="1369"/>
      <c r="D3" s="1369"/>
      <c r="E3" s="1369"/>
      <c r="F3" s="1369"/>
    </row>
    <row r="4" spans="1:6" s="1066" customFormat="1" ht="22.5">
      <c r="A4" s="701"/>
      <c r="B4" s="688"/>
      <c r="C4" s="688"/>
      <c r="D4" s="688"/>
      <c r="E4" s="688"/>
      <c r="F4" s="1065"/>
    </row>
    <row r="5" spans="1:6" s="575" customFormat="1" ht="1.5" customHeight="1">
      <c r="A5" s="702"/>
      <c r="B5" s="689"/>
      <c r="C5" s="689"/>
      <c r="D5" s="689"/>
      <c r="E5" s="689"/>
      <c r="F5" s="574"/>
    </row>
    <row r="6" spans="1:6" s="577" customFormat="1" ht="3.75" customHeight="1">
      <c r="A6" s="701"/>
      <c r="B6" s="690"/>
      <c r="C6" s="690"/>
      <c r="D6" s="690"/>
      <c r="E6" s="690"/>
      <c r="F6" s="576"/>
    </row>
    <row r="7" spans="1:6" s="579" customFormat="1" ht="21.75" customHeight="1" thickBot="1">
      <c r="A7" s="701"/>
      <c r="B7" s="691"/>
      <c r="C7" s="691"/>
      <c r="D7" s="691"/>
      <c r="E7" s="691" t="s">
        <v>384</v>
      </c>
      <c r="F7" s="578" t="s">
        <v>369</v>
      </c>
    </row>
    <row r="8" spans="1:6" s="573" customFormat="1" ht="20.25" customHeight="1" thickBot="1">
      <c r="A8" s="693"/>
      <c r="B8" s="703" t="s">
        <v>138</v>
      </c>
      <c r="C8" s="692" t="s">
        <v>139</v>
      </c>
      <c r="D8" s="693" t="s">
        <v>140</v>
      </c>
      <c r="E8" s="1057" t="s">
        <v>141</v>
      </c>
      <c r="F8" s="580" t="s">
        <v>427</v>
      </c>
    </row>
    <row r="9" spans="1:6" s="582" customFormat="1" ht="57.75" customHeight="1" thickBot="1">
      <c r="A9" s="704"/>
      <c r="B9" s="705" t="s">
        <v>606</v>
      </c>
      <c r="C9" s="694" t="s">
        <v>704</v>
      </c>
      <c r="D9" s="694" t="s">
        <v>705</v>
      </c>
      <c r="E9" s="1058" t="s">
        <v>706</v>
      </c>
      <c r="F9" s="581" t="s">
        <v>607</v>
      </c>
    </row>
    <row r="10" spans="1:6" ht="20.25" customHeight="1">
      <c r="A10" s="706" t="s">
        <v>464</v>
      </c>
      <c r="B10" s="707" t="s">
        <v>289</v>
      </c>
      <c r="C10" s="695"/>
      <c r="D10" s="695"/>
      <c r="E10" s="1059"/>
      <c r="F10" s="583"/>
    </row>
    <row r="11" spans="1:6" ht="16.5" customHeight="1" hidden="1">
      <c r="A11" s="706"/>
      <c r="B11" s="708" t="s">
        <v>608</v>
      </c>
      <c r="C11" s="695"/>
      <c r="D11" s="695"/>
      <c r="E11" s="1059"/>
      <c r="F11" s="583" t="e">
        <f aca="true" t="shared" si="0" ref="F11:F17">(E11*100)/D11</f>
        <v>#DIV/0!</v>
      </c>
    </row>
    <row r="12" spans="1:6" ht="27" customHeight="1">
      <c r="A12" s="706" t="s">
        <v>562</v>
      </c>
      <c r="B12" s="708" t="s">
        <v>720</v>
      </c>
      <c r="C12" s="695">
        <v>336460</v>
      </c>
      <c r="D12" s="695">
        <v>262676</v>
      </c>
      <c r="E12" s="1059">
        <v>64500</v>
      </c>
      <c r="F12" s="583">
        <f t="shared" si="0"/>
        <v>24.55496505200323</v>
      </c>
    </row>
    <row r="13" spans="1:6" ht="25.5">
      <c r="A13" s="706"/>
      <c r="B13" s="708" t="s">
        <v>721</v>
      </c>
      <c r="C13" s="695"/>
      <c r="D13" s="695"/>
      <c r="E13" s="1059"/>
      <c r="F13" s="583"/>
    </row>
    <row r="14" spans="1:7" ht="25.5" customHeight="1">
      <c r="A14" s="706" t="s">
        <v>563</v>
      </c>
      <c r="B14" s="708" t="s">
        <v>293</v>
      </c>
      <c r="C14" s="695">
        <v>125</v>
      </c>
      <c r="D14" s="695"/>
      <c r="E14" s="1059">
        <v>200</v>
      </c>
      <c r="F14" s="583" t="e">
        <f t="shared" si="0"/>
        <v>#DIV/0!</v>
      </c>
      <c r="G14" s="572">
        <f>SUM(E12:E23)</f>
        <v>86400</v>
      </c>
    </row>
    <row r="15" spans="1:6" ht="25.5" customHeight="1">
      <c r="A15" s="706" t="s">
        <v>564</v>
      </c>
      <c r="B15" s="708" t="s">
        <v>291</v>
      </c>
      <c r="C15" s="695">
        <v>51064</v>
      </c>
      <c r="D15" s="695">
        <v>37888</v>
      </c>
      <c r="E15" s="1059">
        <v>21500</v>
      </c>
      <c r="F15" s="583">
        <f t="shared" si="0"/>
        <v>56.74619932432432</v>
      </c>
    </row>
    <row r="16" spans="1:6" ht="25.5">
      <c r="A16" s="706"/>
      <c r="B16" s="708" t="s">
        <v>721</v>
      </c>
      <c r="C16" s="695"/>
      <c r="D16" s="695"/>
      <c r="E16" s="1059"/>
      <c r="F16" s="583"/>
    </row>
    <row r="17" spans="1:6" ht="25.5" customHeight="1">
      <c r="A17" s="706" t="s">
        <v>565</v>
      </c>
      <c r="B17" s="708" t="s">
        <v>292</v>
      </c>
      <c r="C17" s="695">
        <v>879</v>
      </c>
      <c r="D17" s="695"/>
      <c r="E17" s="1059"/>
      <c r="F17" s="583" t="e">
        <f t="shared" si="0"/>
        <v>#DIV/0!</v>
      </c>
    </row>
    <row r="18" spans="1:6" ht="25.5" customHeight="1">
      <c r="A18" s="706" t="s">
        <v>566</v>
      </c>
      <c r="B18" s="708" t="s">
        <v>612</v>
      </c>
      <c r="C18" s="695">
        <v>7600</v>
      </c>
      <c r="D18" s="695"/>
      <c r="E18" s="1059"/>
      <c r="F18" s="583" t="e">
        <f>(E18*100)/D18</f>
        <v>#DIV/0!</v>
      </c>
    </row>
    <row r="19" spans="1:6" ht="25.5" customHeight="1">
      <c r="A19" s="706" t="s">
        <v>567</v>
      </c>
      <c r="B19" s="708" t="s">
        <v>609</v>
      </c>
      <c r="C19" s="695">
        <v>34</v>
      </c>
      <c r="D19" s="695">
        <v>34</v>
      </c>
      <c r="E19" s="1059">
        <v>50</v>
      </c>
      <c r="F19" s="583">
        <f>(E19*100)/D19</f>
        <v>147.05882352941177</v>
      </c>
    </row>
    <row r="20" spans="1:6" ht="25.5" customHeight="1">
      <c r="A20" s="706" t="s">
        <v>590</v>
      </c>
      <c r="B20" s="708" t="s">
        <v>182</v>
      </c>
      <c r="C20" s="695">
        <v>410</v>
      </c>
      <c r="D20" s="695">
        <v>160</v>
      </c>
      <c r="E20" s="1059">
        <v>150</v>
      </c>
      <c r="F20" s="583">
        <f>(E20*100)/D20</f>
        <v>93.75</v>
      </c>
    </row>
    <row r="21" spans="1:6" ht="25.5" customHeight="1">
      <c r="A21" s="706" t="s">
        <v>351</v>
      </c>
      <c r="B21" s="708" t="s">
        <v>915</v>
      </c>
      <c r="C21" s="695"/>
      <c r="D21" s="695"/>
      <c r="E21" s="1059"/>
      <c r="F21" s="583"/>
    </row>
    <row r="22" spans="1:6" ht="12.75">
      <c r="A22" s="706"/>
      <c r="B22" s="708" t="s">
        <v>718</v>
      </c>
      <c r="C22" s="695">
        <v>8770</v>
      </c>
      <c r="D22" s="695">
        <v>16449</v>
      </c>
      <c r="E22" s="1059"/>
      <c r="F22" s="583"/>
    </row>
    <row r="23" spans="1:6" ht="25.5" customHeight="1">
      <c r="A23" s="706" t="s">
        <v>174</v>
      </c>
      <c r="B23" s="708" t="s">
        <v>511</v>
      </c>
      <c r="C23" s="695">
        <v>428</v>
      </c>
      <c r="D23" s="695"/>
      <c r="E23" s="1059"/>
      <c r="F23" s="583"/>
    </row>
    <row r="24" spans="1:6" ht="5.25" customHeight="1" thickBot="1">
      <c r="A24" s="709"/>
      <c r="B24" s="710"/>
      <c r="C24" s="696"/>
      <c r="D24" s="696"/>
      <c r="E24" s="1060"/>
      <c r="F24" s="583"/>
    </row>
    <row r="25" spans="1:6" ht="23.25" customHeight="1" hidden="1">
      <c r="A25" s="706"/>
      <c r="B25" s="708"/>
      <c r="C25" s="695"/>
      <c r="D25" s="695"/>
      <c r="E25" s="1059"/>
      <c r="F25" s="583"/>
    </row>
    <row r="26" spans="1:6" ht="23.25" customHeight="1" hidden="1">
      <c r="A26" s="711"/>
      <c r="B26" s="712"/>
      <c r="C26" s="695"/>
      <c r="D26" s="695"/>
      <c r="E26" s="1059"/>
      <c r="F26" s="583"/>
    </row>
    <row r="27" spans="1:6" ht="23.25" customHeight="1" hidden="1">
      <c r="A27" s="711"/>
      <c r="B27" s="712"/>
      <c r="C27" s="695"/>
      <c r="D27" s="695"/>
      <c r="E27" s="1059"/>
      <c r="F27" s="583"/>
    </row>
    <row r="28" spans="1:6" ht="7.5" customHeight="1" thickBot="1">
      <c r="A28" s="713"/>
      <c r="B28" s="714"/>
      <c r="C28" s="696"/>
      <c r="D28" s="696"/>
      <c r="E28" s="1060"/>
      <c r="F28" s="583"/>
    </row>
    <row r="29" spans="1:6" ht="29.25" customHeight="1">
      <c r="A29" s="715" t="s">
        <v>375</v>
      </c>
      <c r="B29" s="716" t="s">
        <v>290</v>
      </c>
      <c r="C29" s="697"/>
      <c r="D29" s="697"/>
      <c r="E29" s="1061"/>
      <c r="F29" s="583"/>
    </row>
    <row r="30" spans="1:6" ht="21.75" customHeight="1">
      <c r="A30" s="706" t="s">
        <v>376</v>
      </c>
      <c r="B30" s="708" t="s">
        <v>199</v>
      </c>
      <c r="C30" s="695">
        <v>27967</v>
      </c>
      <c r="D30" s="695">
        <v>33576</v>
      </c>
      <c r="E30" s="1059">
        <v>5400</v>
      </c>
      <c r="F30" s="583">
        <f aca="true" t="shared" si="1" ref="F30:F44">(E30*100)/D30</f>
        <v>16.082916368834884</v>
      </c>
    </row>
    <row r="31" spans="1:6" ht="25.5">
      <c r="A31" s="706"/>
      <c r="B31" s="708" t="s">
        <v>721</v>
      </c>
      <c r="C31" s="695"/>
      <c r="D31" s="695"/>
      <c r="E31" s="1059"/>
      <c r="F31" s="583"/>
    </row>
    <row r="32" spans="1:6" ht="21.75" customHeight="1">
      <c r="A32" s="706" t="s">
        <v>142</v>
      </c>
      <c r="B32" s="708" t="s">
        <v>294</v>
      </c>
      <c r="C32" s="695">
        <v>18632</v>
      </c>
      <c r="D32" s="695"/>
      <c r="E32" s="1059"/>
      <c r="F32" s="583" t="e">
        <f t="shared" si="1"/>
        <v>#DIV/0!</v>
      </c>
    </row>
    <row r="33" spans="1:6" ht="21.75" customHeight="1">
      <c r="A33" s="706" t="s">
        <v>377</v>
      </c>
      <c r="B33" s="708" t="s">
        <v>200</v>
      </c>
      <c r="C33" s="695">
        <v>19740</v>
      </c>
      <c r="D33" s="695"/>
      <c r="E33" s="1059"/>
      <c r="F33" s="583" t="e">
        <f t="shared" si="1"/>
        <v>#DIV/0!</v>
      </c>
    </row>
    <row r="34" spans="1:6" ht="21.75" customHeight="1">
      <c r="A34" s="706" t="s">
        <v>378</v>
      </c>
      <c r="B34" s="708" t="s">
        <v>201</v>
      </c>
      <c r="C34" s="695">
        <v>76500</v>
      </c>
      <c r="D34" s="695">
        <v>69879</v>
      </c>
      <c r="E34" s="1059">
        <v>50000</v>
      </c>
      <c r="F34" s="583"/>
    </row>
    <row r="35" spans="1:6" ht="21.75" customHeight="1">
      <c r="A35" s="706" t="s">
        <v>503</v>
      </c>
      <c r="B35" s="708" t="s">
        <v>863</v>
      </c>
      <c r="C35" s="695"/>
      <c r="D35" s="695"/>
      <c r="E35" s="1059">
        <f>280000+40000+25000</f>
        <v>345000</v>
      </c>
      <c r="F35" s="583"/>
    </row>
    <row r="36" spans="1:6" ht="21.75" customHeight="1">
      <c r="A36" s="706" t="s">
        <v>504</v>
      </c>
      <c r="B36" s="708" t="s">
        <v>271</v>
      </c>
      <c r="C36" s="695"/>
      <c r="D36" s="695">
        <v>44160</v>
      </c>
      <c r="E36" s="1059">
        <v>6500</v>
      </c>
      <c r="F36" s="583"/>
    </row>
    <row r="37" spans="1:6" ht="25.5">
      <c r="A37" s="706"/>
      <c r="B37" s="708" t="s">
        <v>721</v>
      </c>
      <c r="C37" s="695"/>
      <c r="D37" s="695"/>
      <c r="E37" s="1059"/>
      <c r="F37" s="583"/>
    </row>
    <row r="38" spans="1:6" ht="21.75" customHeight="1">
      <c r="A38" s="706" t="s">
        <v>505</v>
      </c>
      <c r="B38" s="708" t="s">
        <v>723</v>
      </c>
      <c r="C38" s="695"/>
      <c r="D38" s="695"/>
      <c r="E38" s="1059">
        <v>40000</v>
      </c>
      <c r="F38" s="583"/>
    </row>
    <row r="39" spans="1:7" ht="21.75" customHeight="1">
      <c r="A39" s="706" t="s">
        <v>143</v>
      </c>
      <c r="B39" s="708" t="s">
        <v>610</v>
      </c>
      <c r="C39" s="695">
        <v>2268</v>
      </c>
      <c r="D39" s="695"/>
      <c r="E39" s="1059"/>
      <c r="F39" s="583" t="e">
        <f t="shared" si="1"/>
        <v>#DIV/0!</v>
      </c>
      <c r="G39" s="572">
        <f>SUM(E29:E51)</f>
        <v>495152</v>
      </c>
    </row>
    <row r="40" spans="1:6" ht="21.75" customHeight="1">
      <c r="A40" s="706" t="s">
        <v>144</v>
      </c>
      <c r="B40" s="708" t="s">
        <v>611</v>
      </c>
      <c r="C40" s="695">
        <v>12991</v>
      </c>
      <c r="D40" s="695">
        <v>8465</v>
      </c>
      <c r="E40" s="1059">
        <v>12000</v>
      </c>
      <c r="F40" s="583">
        <f t="shared" si="1"/>
        <v>141.76018901358535</v>
      </c>
    </row>
    <row r="41" spans="1:6" ht="21.75" customHeight="1">
      <c r="A41" s="706" t="s">
        <v>145</v>
      </c>
      <c r="B41" s="708" t="s">
        <v>180</v>
      </c>
      <c r="C41" s="695"/>
      <c r="D41" s="695">
        <v>1271</v>
      </c>
      <c r="E41" s="1059">
        <v>652</v>
      </c>
      <c r="F41" s="583">
        <f t="shared" si="1"/>
        <v>51.29819040125885</v>
      </c>
    </row>
    <row r="42" spans="1:6" ht="21.75" customHeight="1">
      <c r="A42" s="706" t="s">
        <v>146</v>
      </c>
      <c r="B42" s="708" t="s">
        <v>181</v>
      </c>
      <c r="C42" s="695">
        <v>1321</v>
      </c>
      <c r="D42" s="695">
        <v>1527</v>
      </c>
      <c r="E42" s="1059">
        <v>2000</v>
      </c>
      <c r="F42" s="583">
        <f t="shared" si="1"/>
        <v>130.97576948264572</v>
      </c>
    </row>
    <row r="43" spans="1:6" ht="21.75" customHeight="1">
      <c r="A43" s="706" t="s">
        <v>147</v>
      </c>
      <c r="B43" s="708" t="s">
        <v>202</v>
      </c>
      <c r="C43" s="695">
        <v>6780</v>
      </c>
      <c r="D43" s="695">
        <v>16320</v>
      </c>
      <c r="E43" s="1059">
        <v>22000</v>
      </c>
      <c r="F43" s="583">
        <f t="shared" si="1"/>
        <v>134.80392156862746</v>
      </c>
    </row>
    <row r="44" spans="1:6" ht="21.75" customHeight="1">
      <c r="A44" s="706" t="s">
        <v>148</v>
      </c>
      <c r="B44" s="708" t="s">
        <v>719</v>
      </c>
      <c r="C44" s="695"/>
      <c r="D44" s="695">
        <v>1600</v>
      </c>
      <c r="E44" s="1059">
        <v>3000</v>
      </c>
      <c r="F44" s="583">
        <f t="shared" si="1"/>
        <v>187.5</v>
      </c>
    </row>
    <row r="45" spans="1:6" ht="21.75" customHeight="1">
      <c r="A45" s="706" t="s">
        <v>149</v>
      </c>
      <c r="B45" s="708" t="s">
        <v>722</v>
      </c>
      <c r="C45" s="695"/>
      <c r="D45" s="695"/>
      <c r="E45" s="1059">
        <v>100</v>
      </c>
      <c r="F45" s="583"/>
    </row>
    <row r="46" spans="1:6" ht="21.75" customHeight="1">
      <c r="A46" s="706" t="s">
        <v>379</v>
      </c>
      <c r="B46" s="708" t="s">
        <v>612</v>
      </c>
      <c r="C46" s="695"/>
      <c r="D46" s="695">
        <v>15956</v>
      </c>
      <c r="E46" s="1059">
        <v>3000</v>
      </c>
      <c r="F46" s="583"/>
    </row>
    <row r="47" spans="1:6" ht="25.5">
      <c r="A47" s="706"/>
      <c r="B47" s="708" t="s">
        <v>721</v>
      </c>
      <c r="C47" s="695"/>
      <c r="D47" s="695"/>
      <c r="E47" s="1059"/>
      <c r="F47" s="583"/>
    </row>
    <row r="48" spans="1:6" ht="20.25" customHeight="1">
      <c r="A48" s="706" t="s">
        <v>150</v>
      </c>
      <c r="B48" s="708" t="s">
        <v>614</v>
      </c>
      <c r="C48" s="695"/>
      <c r="D48" s="695"/>
      <c r="E48" s="1059"/>
      <c r="F48" s="583"/>
    </row>
    <row r="49" spans="1:6" ht="12" customHeight="1">
      <c r="A49" s="706"/>
      <c r="B49" s="708" t="s">
        <v>198</v>
      </c>
      <c r="C49" s="695">
        <v>25684</v>
      </c>
      <c r="D49" s="695">
        <v>19434</v>
      </c>
      <c r="E49" s="1059">
        <v>5500</v>
      </c>
      <c r="F49" s="583"/>
    </row>
    <row r="50" spans="1:6" ht="25.5">
      <c r="A50" s="706"/>
      <c r="B50" s="708" t="s">
        <v>721</v>
      </c>
      <c r="C50" s="695"/>
      <c r="D50" s="695"/>
      <c r="E50" s="1059"/>
      <c r="F50" s="583"/>
    </row>
    <row r="51" spans="1:6" ht="14.25" customHeight="1" thickBot="1">
      <c r="A51" s="709"/>
      <c r="B51" s="710"/>
      <c r="C51" s="696"/>
      <c r="D51" s="696"/>
      <c r="E51" s="1060"/>
      <c r="F51" s="583"/>
    </row>
    <row r="52" spans="1:6" s="585" customFormat="1" ht="81" customHeight="1" thickBot="1">
      <c r="A52" s="693" t="s">
        <v>151</v>
      </c>
      <c r="B52" s="717" t="s">
        <v>211</v>
      </c>
      <c r="C52" s="698">
        <f>SUM(C10:C51)</f>
        <v>597653</v>
      </c>
      <c r="D52" s="698">
        <f>SUM(D10:D51)</f>
        <v>529395</v>
      </c>
      <c r="E52" s="1062">
        <f>SUM(E10:E51)</f>
        <v>581552</v>
      </c>
      <c r="F52" s="584">
        <f>(E52*100)/D52</f>
        <v>109.85218976378697</v>
      </c>
    </row>
    <row r="54" ht="21.75" customHeight="1">
      <c r="E54" s="687">
        <f>SUM(G12:G52)</f>
        <v>581552</v>
      </c>
    </row>
    <row r="55" ht="12.75">
      <c r="C55" s="687">
        <f>405770+192183-300</f>
        <v>597653</v>
      </c>
    </row>
  </sheetData>
  <sheetProtection/>
  <mergeCells count="1">
    <mergeCell ref="A3:F3"/>
  </mergeCells>
  <printOptions horizontalCentered="1"/>
  <pageMargins left="0.39" right="0.45" top="0.56" bottom="0.5905511811023623" header="0.37" footer="0.5118110236220472"/>
  <pageSetup horizontalDpi="300" verticalDpi="300" orientation="portrait" paperSize="9" scale="71" r:id="rId1"/>
  <colBreaks count="1" manualBreakCount="1">
    <brk id="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Budapest-Zugló Polgárm. Hiv.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noemi</dc:creator>
  <cp:keywords/>
  <dc:description/>
  <cp:lastModifiedBy>noemi</cp:lastModifiedBy>
  <cp:lastPrinted>2015-03-05T12:36:00Z</cp:lastPrinted>
  <dcterms:created xsi:type="dcterms:W3CDTF">2001-09-10T11:12:53Z</dcterms:created>
  <dcterms:modified xsi:type="dcterms:W3CDTF">2016-02-25T07:41:00Z</dcterms:modified>
  <cp:category/>
  <cp:version/>
  <cp:contentType/>
  <cp:contentStatus/>
</cp:coreProperties>
</file>